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zobert\Documents\Focus on Energy\"/>
    </mc:Choice>
  </mc:AlternateContent>
  <bookViews>
    <workbookView xWindow="0" yWindow="0" windowWidth="24000" windowHeight="9420"/>
  </bookViews>
  <sheets>
    <sheet name="Chiller Eligibility" sheetId="1" r:id="rId1"/>
  </sheets>
  <definedNames>
    <definedName name="_xlnm.Print_Area" localSheetId="0">'Chiller Eligibility'!$A$1:$I$59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7" i="1" l="1"/>
  <c r="J63" i="1" l="1"/>
  <c r="E10" i="1"/>
  <c r="C22" i="1"/>
  <c r="C21" i="1"/>
  <c r="E11" i="1"/>
  <c r="B72" i="1"/>
  <c r="T111" i="1" l="1"/>
  <c r="S111" i="1"/>
  <c r="T110" i="1"/>
  <c r="S110" i="1"/>
  <c r="T109" i="1"/>
  <c r="S109" i="1"/>
  <c r="T108" i="1"/>
  <c r="S108" i="1"/>
  <c r="T107" i="1"/>
  <c r="S107" i="1"/>
  <c r="T106" i="1"/>
  <c r="S106" i="1"/>
  <c r="T105" i="1"/>
  <c r="S105" i="1"/>
  <c r="T104" i="1"/>
  <c r="S104" i="1"/>
  <c r="T103" i="1"/>
  <c r="T102" i="1"/>
  <c r="S103" i="1"/>
  <c r="S102" i="1"/>
  <c r="R108" i="1" l="1"/>
  <c r="R111" i="1" l="1"/>
  <c r="R110" i="1"/>
  <c r="R109" i="1"/>
  <c r="R107" i="1"/>
  <c r="R106" i="1"/>
  <c r="R105" i="1"/>
  <c r="R104" i="1"/>
  <c r="R103" i="1"/>
  <c r="R102" i="1"/>
  <c r="C56" i="1"/>
  <c r="I72" i="1" l="1"/>
  <c r="F39" i="1" l="1"/>
  <c r="G39" i="1" s="1"/>
  <c r="F38" i="1"/>
  <c r="G38" i="1" s="1"/>
  <c r="F37" i="1"/>
  <c r="G37" i="1" s="1"/>
  <c r="F36" i="1"/>
  <c r="G36" i="1" s="1"/>
  <c r="D35" i="1"/>
  <c r="C35" i="1"/>
  <c r="G41" i="1" l="1"/>
  <c r="F41" i="1"/>
  <c r="D29" i="1"/>
  <c r="E72" i="1"/>
  <c r="C72" i="1"/>
  <c r="C12" i="1"/>
  <c r="C18" i="1" l="1"/>
  <c r="C14" i="1"/>
  <c r="C17" i="1"/>
  <c r="C13" i="1"/>
  <c r="C16" i="1"/>
  <c r="C15" i="1"/>
  <c r="C50" i="1"/>
  <c r="C51" i="1"/>
  <c r="V119" i="1"/>
  <c r="U119" i="1"/>
  <c r="T119" i="1"/>
  <c r="S119" i="1"/>
  <c r="V118" i="1" l="1"/>
  <c r="U118" i="1"/>
  <c r="T118" i="1"/>
  <c r="S118" i="1"/>
  <c r="F28" i="1" s="1"/>
  <c r="V117" i="1"/>
  <c r="U117" i="1"/>
  <c r="S117" i="1"/>
  <c r="T117" i="1"/>
  <c r="I29" i="1"/>
  <c r="I28" i="1"/>
  <c r="G29" i="1"/>
  <c r="G28" i="1"/>
  <c r="W118" i="1"/>
  <c r="X118" i="1"/>
  <c r="D28" i="1"/>
  <c r="F29" i="1" l="1"/>
  <c r="H28" i="1"/>
  <c r="H29" i="1"/>
  <c r="D50" i="1"/>
  <c r="D72" i="1" l="1"/>
  <c r="F50" i="1"/>
  <c r="D51" i="1"/>
  <c r="C55" i="1" s="1"/>
  <c r="F72" i="1" l="1"/>
  <c r="G72" i="1" s="1"/>
  <c r="H72" i="1" s="1"/>
  <c r="F51" i="1"/>
  <c r="F52" i="1" s="1"/>
  <c r="C57" i="1" l="1"/>
  <c r="K72" i="1" s="1"/>
  <c r="C53" i="1"/>
  <c r="E54" i="1" l="1"/>
  <c r="J72" i="1"/>
</calcChain>
</file>

<file path=xl/comments1.xml><?xml version="1.0" encoding="utf-8"?>
<comments xmlns="http://schemas.openxmlformats.org/spreadsheetml/2006/main">
  <authors>
    <author>Zach Obert</author>
  </authors>
  <commentList>
    <comment ref="H35" authorId="0" shapeId="0">
      <text>
        <r>
          <rPr>
            <b/>
            <sz val="9"/>
            <color indexed="81"/>
            <rFont val="Tahoma"/>
            <family val="2"/>
          </rPr>
          <t>Zach Obert:</t>
        </r>
        <r>
          <rPr>
            <sz val="9"/>
            <color indexed="81"/>
            <rFont val="Tahoma"/>
            <family val="2"/>
          </rPr>
          <t xml:space="preserve">
From page 9 of: 
</t>
        </r>
        <r>
          <rPr>
            <sz val="8"/>
            <color indexed="81"/>
            <rFont val="Tahoma"/>
            <family val="2"/>
          </rPr>
          <t xml:space="preserve">http://www.ahrinet.org/App_Content/ahri/files/standards%20pdfs/AHRI%20standards%20pdfs/AHRI%20Standard%20550-590%20(I-P)-2011.pdf  </t>
        </r>
      </text>
    </comment>
  </commentList>
</comments>
</file>

<file path=xl/sharedStrings.xml><?xml version="1.0" encoding="utf-8"?>
<sst xmlns="http://schemas.openxmlformats.org/spreadsheetml/2006/main" count="184" uniqueCount="134">
  <si>
    <t>% Load</t>
  </si>
  <si>
    <t>EER</t>
  </si>
  <si>
    <t>Tons</t>
  </si>
  <si>
    <t>Total kW</t>
  </si>
  <si>
    <t>kW/ton</t>
  </si>
  <si>
    <t>Total Incentive:</t>
  </si>
  <si>
    <t>Known Efficiency Rating:</t>
  </si>
  <si>
    <t>kW/Ton</t>
  </si>
  <si>
    <t>Known Efficiency Rating</t>
  </si>
  <si>
    <t>COP</t>
  </si>
  <si>
    <t>Air-cooled chiller &lt; 150 tons</t>
  </si>
  <si>
    <t>Chiller Type</t>
  </si>
  <si>
    <t>Water cooled, positive displacement &lt; 75 tons</t>
  </si>
  <si>
    <t>Water cooled, positive displacement ≥ 75 tons and &lt; 150 tons</t>
  </si>
  <si>
    <t>Water cooled, positive displacement ≥ 150 tons and &lt; 300 tons</t>
  </si>
  <si>
    <t>Water cooled, positive displacement ≥ 300 tons</t>
  </si>
  <si>
    <t>Water cooled, centrifugal ≥ 300 tons and &lt; 600 tons</t>
  </si>
  <si>
    <t>Water cooled, centrifugal ≥ 600 tons</t>
  </si>
  <si>
    <t>Min Tons</t>
  </si>
  <si>
    <t>Max Tons</t>
  </si>
  <si>
    <t>=1 when matches proposed chiller</t>
  </si>
  <si>
    <t>Full Load kW/ton</t>
  </si>
  <si>
    <t>IPLV</t>
  </si>
  <si>
    <t>Additional per 0.1 kW/ton</t>
  </si>
  <si>
    <t>Base Incentive</t>
  </si>
  <si>
    <t>Full Load Efficiency:</t>
  </si>
  <si>
    <t>Min Efficiency</t>
  </si>
  <si>
    <t>Max Efficiency</t>
  </si>
  <si>
    <t>Chiller Type:</t>
  </si>
  <si>
    <t>This is equivalent to:</t>
  </si>
  <si>
    <t>Alt rating 1 Units</t>
  </si>
  <si>
    <t>Alt rating 2 Units</t>
  </si>
  <si>
    <t>Alt Rating 1 Value Full</t>
  </si>
  <si>
    <t>Alt Rating 1 Value Part</t>
  </si>
  <si>
    <t>Alt Rating 2 Value Part</t>
  </si>
  <si>
    <t>Alt Rating 2 Value Full</t>
  </si>
  <si>
    <t>kW/ton = 12 / EER</t>
  </si>
  <si>
    <t>kW/ton = 12 (COP x 3.412)</t>
  </si>
  <si>
    <t>COP = EER / 3.412</t>
  </si>
  <si>
    <t>COP = 12 / (kW/ton) / 3.412</t>
  </si>
  <si>
    <t>EER = 12 / kW/ton</t>
  </si>
  <si>
    <t>EER = COP x 3.412</t>
  </si>
  <si>
    <t>AHRI Conditions:</t>
  </si>
  <si>
    <t>Water Cooled Chillers</t>
  </si>
  <si>
    <t>44 deg. F chilled water supply</t>
  </si>
  <si>
    <t>Air Cooled Chillers</t>
  </si>
  <si>
    <t>95 deg. F entering air (dry bulb) on the condensing side</t>
  </si>
  <si>
    <t xml:space="preserve"> </t>
  </si>
  <si>
    <t>85 deg. F condenser water entering temp (temp coming back from cooling tower)</t>
  </si>
  <si>
    <t>0.00025 hr ft^2 deg. F/Btu condenser fouling factor allowance</t>
  </si>
  <si>
    <t>2.4 gpm/ton flow rate on the chilled water side</t>
  </si>
  <si>
    <t xml:space="preserve">2.4 gpm/ton flow rate on the chilled water side </t>
  </si>
  <si>
    <t>3.0 gpm/ton flow rate on the condenser water side</t>
  </si>
  <si>
    <t>Air-cooled chiller ≥ 150 tons</t>
  </si>
  <si>
    <t>Part Load Efficiency (IPLV):</t>
  </si>
  <si>
    <t>Proposed Chiller Efficiency</t>
  </si>
  <si>
    <t>Calculated IPLV:</t>
  </si>
  <si>
    <t>Known % Load values are:</t>
  </si>
  <si>
    <t>Tons and Total kW</t>
  </si>
  <si>
    <t>% Load IPLV Calc Lookups</t>
  </si>
  <si>
    <t>Column 1</t>
  </si>
  <si>
    <t>Column 2</t>
  </si>
  <si>
    <t>IPLV Formula Coefficient</t>
  </si>
  <si>
    <t>Clear cells B31 to C34 after changing this value</t>
  </si>
  <si>
    <t>Chiller Type and Performance Data</t>
  </si>
  <si>
    <t>Actual kW/Ton</t>
  </si>
  <si>
    <t>Eligibility Details</t>
  </si>
  <si>
    <t>Short</t>
  </si>
  <si>
    <t>Both</t>
  </si>
  <si>
    <t>Full</t>
  </si>
  <si>
    <t>Part</t>
  </si>
  <si>
    <t>Neither</t>
  </si>
  <si>
    <t>Chiller Eligibility and Incentive</t>
  </si>
  <si>
    <t>www.ahrinet.org/App_Content/ahri/files/standards%20pdfs/AHRI%20standards%20pdfs/AHRI%20Standard%20550-590%20(I-P)-2011.pdf</t>
  </si>
  <si>
    <t>Incentive Rate ($/ton):</t>
  </si>
  <si>
    <t>Chiller Capacity (tons):</t>
  </si>
  <si>
    <t>Chiller performance data must be at the AHRI conditions listed above</t>
  </si>
  <si>
    <t>0.0001 hr ft^2 deg. F/Btu evaporator fouling factor allowance</t>
  </si>
  <si>
    <t xml:space="preserve">Eligible? </t>
  </si>
  <si>
    <t>YES, Chiller meets full load and part load efficiency requirements</t>
  </si>
  <si>
    <t>YES, Chiller meets full load efficiency requirement only</t>
  </si>
  <si>
    <t>YES, Chiller meets part load efficiency requirement only</t>
  </si>
  <si>
    <t>NO, Chiller does not meet full load or part load efficiency requirements</t>
  </si>
  <si>
    <t>enter capacity at AHRI Conditions, not nominal capacity</t>
  </si>
  <si>
    <t>Water cooled, centrifugal &lt; 150 tons</t>
  </si>
  <si>
    <t>Water cooled, centrifugal ≥ 150 tons and &lt; 300 tons</t>
  </si>
  <si>
    <t>Maximum Chiller Efficiency to Qualify for Focus on Energy Incentives</t>
  </si>
  <si>
    <t>(link cell B26 to here, kW/ton or EER as appropriate)----&gt;</t>
  </si>
  <si>
    <t>Chiller AHRI Capacity:</t>
  </si>
  <si>
    <t>ASHRAE 90.1-2007 Code Requirement</t>
  </si>
  <si>
    <t>Focus on Energy Incentive per Ton</t>
  </si>
  <si>
    <t>Focus on Energy Min. Efficiency to Qualify</t>
  </si>
  <si>
    <t>Lookup Tables</t>
  </si>
  <si>
    <r>
      <t>If IPLV not known, enter part load ratings below to calculate</t>
    </r>
    <r>
      <rPr>
        <sz val="11"/>
        <color theme="1"/>
        <rFont val="Franklin Gothic Book"/>
        <family val="2"/>
      </rPr>
      <t xml:space="preserve"> (otherwise skip)</t>
    </r>
  </si>
  <si>
    <t>Please complete all sections highlighted in this color to determine if your chiller is eligible for Focus on Energy incentives.</t>
  </si>
  <si>
    <t>EQUIP #</t>
  </si>
  <si>
    <t>MODEL #</t>
  </si>
  <si>
    <t>ANNUAL HOURS OF CHILLER OPERATION</t>
  </si>
  <si>
    <t>BASE OR TRIM CHILLER?</t>
  </si>
  <si>
    <t>BUILDING / SPACE DESIGN 
COOLING LOAD (tons)</t>
  </si>
  <si>
    <t>HVAC / PLUMBING INCENTIVE CATALOG - SUPPLEMENTAL DATA SHEET INPUTS</t>
  </si>
  <si>
    <t xml:space="preserve">B1 </t>
  </si>
  <si>
    <t xml:space="preserve">CHILLERS (BUILDING COOLING LOAD) - </t>
  </si>
  <si>
    <t xml:space="preserve">Copy the information below onto the supplemental data sheet when submitting your incentive application. </t>
  </si>
  <si>
    <t>INCENTIVE CODE: H2249, H2250, H2251, H2252 , M-H2249, M-H2250, M-H2251, M-H2252</t>
  </si>
  <si>
    <t>B2</t>
  </si>
  <si>
    <r>
      <t xml:space="preserve">AHRI RATED CAPACITY </t>
    </r>
    <r>
      <rPr>
        <b/>
        <sz val="8"/>
        <color theme="0"/>
        <rFont val="Franklin Gothic Book"/>
        <family val="2"/>
      </rPr>
      <t>(tons)</t>
    </r>
  </si>
  <si>
    <r>
      <t xml:space="preserve">AHRI RATED FULL LOAD EFFICIENCY </t>
    </r>
    <r>
      <rPr>
        <b/>
        <sz val="8"/>
        <color theme="0"/>
        <rFont val="Franklin Gothic Book"/>
        <family val="2"/>
      </rPr>
      <t>(kW/ton)</t>
    </r>
  </si>
  <si>
    <r>
      <t xml:space="preserve">AHRI RATED PART LOAD EFFICIENCY (IPLV) </t>
    </r>
    <r>
      <rPr>
        <b/>
        <sz val="8"/>
        <color theme="0"/>
        <rFont val="Franklin Gothic Book"/>
        <family val="2"/>
      </rPr>
      <t>(kW/ton)</t>
    </r>
  </si>
  <si>
    <r>
      <t xml:space="preserve">BASE INCENTIVE </t>
    </r>
    <r>
      <rPr>
        <b/>
        <sz val="8"/>
        <color theme="0"/>
        <rFont val="Franklin Gothic Book"/>
        <family val="2"/>
      </rPr>
      <t>($/ton)</t>
    </r>
  </si>
  <si>
    <t>*Focus on Energy may adjust total incentive based on project caps. Please see measure requirements and Terms and Conditions for more information.</t>
  </si>
  <si>
    <t>Measure Code</t>
  </si>
  <si>
    <t>H2249</t>
  </si>
  <si>
    <t>H2250</t>
  </si>
  <si>
    <t>H2252</t>
  </si>
  <si>
    <t>H2251</t>
  </si>
  <si>
    <t>Facility Type:</t>
  </si>
  <si>
    <t>Business</t>
  </si>
  <si>
    <t>Successful incentive message</t>
  </si>
  <si>
    <t>Congratulations! Your chiller qualifies for an incentive. Please use the HVAC/Plumbing Incentive Catalog available at focusonenergy.com/businesshvac to complete you incentive application upon project completion. Chiller incentives require use of the Supplemental Data Sheet along with the application, which should be completed using the inputs shown below.</t>
  </si>
  <si>
    <t>Negative</t>
  </si>
  <si>
    <t>No, Based on performance data the resulting incentive is negative.</t>
  </si>
  <si>
    <t>hide</t>
  </si>
  <si>
    <t>Blank</t>
  </si>
  <si>
    <t>Error - No Chiller Type Selected</t>
  </si>
  <si>
    <t>Max kW/Ton to Qualify</t>
  </si>
  <si>
    <t>Chiller Eligibility Screening Tool 2016</t>
  </si>
  <si>
    <r>
      <t xml:space="preserve">MAX PART LOAD (IPLV) </t>
    </r>
    <r>
      <rPr>
        <b/>
        <sz val="7"/>
        <color theme="0"/>
        <rFont val="Franklin Gothic Book"/>
        <family val="2"/>
      </rPr>
      <t>(kW/ton) (from Measure Description pg 28 of catalog)</t>
    </r>
  </si>
  <si>
    <r>
      <t xml:space="preserve">DELTA EFFICIENCY: 
</t>
    </r>
    <r>
      <rPr>
        <b/>
        <sz val="8"/>
        <color theme="0"/>
        <rFont val="Franklin Gothic Book"/>
        <family val="2"/>
      </rPr>
      <t>(max full load - rated full load) + (max part load - rated part load)</t>
    </r>
  </si>
  <si>
    <r>
      <t xml:space="preserve">MAX FULL LOAD </t>
    </r>
    <r>
      <rPr>
        <b/>
        <sz val="8"/>
        <color theme="0"/>
        <rFont val="Franklin Gothic Book"/>
        <family val="2"/>
      </rPr>
      <t>(kW/ton) (from Measure Description 
pg 28 of catalog)</t>
    </r>
  </si>
  <si>
    <r>
      <t xml:space="preserve">ADDITIONAL INCENTIVE </t>
    </r>
    <r>
      <rPr>
        <b/>
        <sz val="8"/>
        <color theme="0"/>
        <rFont val="Franklin Gothic Book"/>
        <family val="2"/>
      </rPr>
      <t>($/ton) (delta efficiency x $250)</t>
    </r>
  </si>
  <si>
    <r>
      <t xml:space="preserve">INCENTIVE RATE </t>
    </r>
    <r>
      <rPr>
        <b/>
        <sz val="8"/>
        <color theme="0"/>
        <rFont val="Franklin Gothic Book"/>
        <family val="2"/>
      </rPr>
      <t>($/ton) (additional incentive + base incentive)</t>
    </r>
  </si>
  <si>
    <r>
      <t xml:space="preserve">TOTAL INCENTIVE*
</t>
    </r>
    <r>
      <rPr>
        <b/>
        <sz val="8"/>
        <color theme="0"/>
        <rFont val="Franklin Gothic Book"/>
        <family val="2"/>
      </rPr>
      <t>(AHRI rated capacity x incentive rate)</t>
    </r>
  </si>
  <si>
    <t>Incentives for chillers are not available for Large Energy Users Program customers, regardless of results of this eligibility tool. 
To check if you are a Large Energy Users Program customer, call 800.762.7077.</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</si>
</sst>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0"/>
    <numFmt numFmtId="165" formatCode="&quot;$&quot;#,##0.00"/>
    <numFmt numFmtId="166" formatCode="&quot;$&quot;#,##0"/>
    <numFmt numFmtId="167" formatCode="#,##0.0"/>
    <numFmt numFmtId="168" formatCode="#,##0.000"/>
  </numFmts>
  <fonts count="33" x14ac:knownFonts="1">
    <font>
      <sz val="11"/>
      <color theme="1"/>
      <name val="Calibri"/>
      <family val="2"/>
      <scheme val="minor"/>
    </font>
    <font>
      <sz val="11"/>
      <color theme="1"/>
      <name val="Calibri"/>
      <family val="2"/>
      <scheme val="minor"/>
    </font>
    <font>
      <u/>
      <sz val="11"/>
      <color theme="10"/>
      <name val="Calibri"/>
      <family val="2"/>
      <scheme val="minor"/>
    </font>
    <font>
      <sz val="9"/>
      <color indexed="81"/>
      <name val="Tahoma"/>
      <family val="2"/>
    </font>
    <font>
      <b/>
      <sz val="9"/>
      <color indexed="81"/>
      <name val="Tahoma"/>
      <family val="2"/>
    </font>
    <font>
      <sz val="8"/>
      <color indexed="81"/>
      <name val="Tahoma"/>
      <family val="2"/>
    </font>
    <font>
      <sz val="11"/>
      <color rgb="FF000000"/>
      <name val="Arial"/>
      <family val="2"/>
    </font>
    <font>
      <sz val="11"/>
      <color theme="1"/>
      <name val="Franklin Gothic Book"/>
      <family val="2"/>
    </font>
    <font>
      <b/>
      <sz val="12"/>
      <color theme="1"/>
      <name val="Franklin Gothic Book"/>
      <family val="2"/>
    </font>
    <font>
      <sz val="9"/>
      <color rgb="FF000000"/>
      <name val="Franklin Gothic Book"/>
      <family val="2"/>
    </font>
    <font>
      <i/>
      <sz val="11"/>
      <color theme="1"/>
      <name val="Franklin Gothic Book"/>
      <family val="2"/>
    </font>
    <font>
      <sz val="11"/>
      <color rgb="FFFF0000"/>
      <name val="Franklin Gothic Book"/>
      <family val="2"/>
    </font>
    <font>
      <b/>
      <sz val="11"/>
      <color theme="1"/>
      <name val="Franklin Gothic Book"/>
      <family val="2"/>
    </font>
    <font>
      <u/>
      <sz val="10"/>
      <color theme="10"/>
      <name val="Franklin Gothic Book"/>
      <family val="2"/>
    </font>
    <font>
      <i/>
      <sz val="10"/>
      <color theme="1"/>
      <name val="Franklin Gothic Book"/>
      <family val="2"/>
    </font>
    <font>
      <b/>
      <sz val="10"/>
      <color theme="1"/>
      <name val="Franklin Gothic Book"/>
      <family val="2"/>
    </font>
    <font>
      <sz val="12"/>
      <color theme="1"/>
      <name val="Franklin Gothic Book"/>
      <family val="2"/>
    </font>
    <font>
      <sz val="11"/>
      <color theme="0"/>
      <name val="Franklin Gothic Book"/>
      <family val="2"/>
    </font>
    <font>
      <b/>
      <sz val="9"/>
      <color theme="1"/>
      <name val="Franklin Gothic Book"/>
      <family val="2"/>
    </font>
    <font>
      <sz val="10"/>
      <color theme="1"/>
      <name val="Franklin Gothic Book"/>
      <family val="2"/>
    </font>
    <font>
      <b/>
      <u/>
      <sz val="11"/>
      <color theme="1"/>
      <name val="Franklin Gothic Book"/>
      <family val="2"/>
    </font>
    <font>
      <b/>
      <sz val="12"/>
      <color theme="0"/>
      <name val="Franklin Gothic Book"/>
      <family val="2"/>
    </font>
    <font>
      <sz val="11"/>
      <color rgb="FF7AC143"/>
      <name val="Franklin Gothic Book"/>
      <family val="2"/>
    </font>
    <font>
      <b/>
      <sz val="12"/>
      <color rgb="FF7AC143"/>
      <name val="Franklin Gothic Book"/>
      <family val="2"/>
    </font>
    <font>
      <i/>
      <sz val="9"/>
      <color theme="1"/>
      <name val="Franklin Gothic Book"/>
      <family val="2"/>
    </font>
    <font>
      <b/>
      <sz val="11"/>
      <color theme="0"/>
      <name val="Franklin Gothic Book"/>
      <family val="2"/>
    </font>
    <font>
      <b/>
      <sz val="10"/>
      <color theme="0"/>
      <name val="Franklin Gothic Book"/>
      <family val="2"/>
    </font>
    <font>
      <b/>
      <sz val="8"/>
      <color theme="0"/>
      <name val="Franklin Gothic Book"/>
      <family val="2"/>
    </font>
    <font>
      <sz val="8"/>
      <color theme="1"/>
      <name val="Franklin Gothic Book"/>
      <family val="2"/>
    </font>
    <font>
      <b/>
      <sz val="8"/>
      <color theme="1"/>
      <name val="Franklin Gothic Book"/>
      <family val="2"/>
    </font>
    <font>
      <sz val="9"/>
      <color theme="1"/>
      <name val="Franklin Gothic Book"/>
      <family val="2"/>
    </font>
    <font>
      <b/>
      <sz val="7"/>
      <color theme="0"/>
      <name val="Franklin Gothic Book"/>
      <family val="2"/>
    </font>
    <font>
      <b/>
      <sz val="10"/>
      <color rgb="FF000000"/>
      <name val="Franklin Gothic Book"/>
      <family val="2"/>
    </font>
  </fonts>
  <fills count="7">
    <fill>
      <patternFill patternType="none"/>
    </fill>
    <fill>
      <patternFill patternType="gray125"/>
    </fill>
    <fill>
      <patternFill patternType="solid">
        <fgColor rgb="FFFFFFCC"/>
        <bgColor indexed="64"/>
      </patternFill>
    </fill>
    <fill>
      <patternFill patternType="solid">
        <fgColor rgb="FF004A62"/>
        <bgColor indexed="64"/>
      </patternFill>
    </fill>
    <fill>
      <patternFill patternType="solid">
        <fgColor rgb="FFD2EDF4"/>
        <bgColor indexed="64"/>
      </patternFill>
    </fill>
    <fill>
      <patternFill patternType="solid">
        <fgColor rgb="FF6DC8BF"/>
        <bgColor indexed="64"/>
      </patternFill>
    </fill>
    <fill>
      <patternFill patternType="solid">
        <fgColor rgb="FFFFFF00"/>
        <bgColor indexed="64"/>
      </patternFill>
    </fill>
  </fills>
  <borders count="26">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double">
        <color theme="0" tint="-0.499984740745262"/>
      </left>
      <right style="double">
        <color theme="0" tint="-0.499984740745262"/>
      </right>
      <top style="double">
        <color theme="0" tint="-0.499984740745262"/>
      </top>
      <bottom style="double">
        <color theme="0" tint="-0.499984740745262"/>
      </bottom>
      <diagonal/>
    </border>
    <border>
      <left style="double">
        <color theme="0" tint="-0.499984740745262"/>
      </left>
      <right/>
      <top style="double">
        <color theme="0" tint="-0.499984740745262"/>
      </top>
      <bottom style="double">
        <color theme="0" tint="-0.499984740745262"/>
      </bottom>
      <diagonal/>
    </border>
    <border>
      <left/>
      <right/>
      <top style="double">
        <color theme="0" tint="-0.499984740745262"/>
      </top>
      <bottom style="double">
        <color theme="0" tint="-0.499984740745262"/>
      </bottom>
      <diagonal/>
    </border>
    <border>
      <left/>
      <right style="double">
        <color theme="0" tint="-0.499984740745262"/>
      </right>
      <top style="double">
        <color theme="0" tint="-0.499984740745262"/>
      </top>
      <bottom style="double">
        <color theme="0" tint="-0.499984740745262"/>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double">
        <color theme="0" tint="-0.499984740745262"/>
      </left>
      <right/>
      <top/>
      <bottom/>
      <diagonal/>
    </border>
    <border>
      <left/>
      <right style="medium">
        <color indexed="64"/>
      </right>
      <top style="thin">
        <color indexed="64"/>
      </top>
      <bottom/>
      <diagonal/>
    </border>
    <border>
      <left/>
      <right/>
      <top/>
      <bottom style="thin">
        <color theme="0"/>
      </bottom>
      <diagonal/>
    </border>
    <border>
      <left/>
      <right/>
      <top style="thin">
        <color theme="0"/>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6" fillId="0" borderId="0"/>
  </cellStyleXfs>
  <cellXfs count="150">
    <xf numFmtId="0" fontId="0" fillId="0" borderId="0" xfId="0"/>
    <xf numFmtId="0" fontId="7" fillId="0" borderId="0" xfId="0" applyFont="1" applyProtection="1"/>
    <xf numFmtId="0" fontId="7" fillId="0" borderId="0" xfId="0" applyFont="1" applyAlignment="1" applyProtection="1">
      <alignment wrapText="1"/>
    </xf>
    <xf numFmtId="0" fontId="8" fillId="0" borderId="0" xfId="0" applyFont="1" applyProtection="1"/>
    <xf numFmtId="0" fontId="7" fillId="0" borderId="13" xfId="0" applyFont="1" applyBorder="1" applyProtection="1"/>
    <xf numFmtId="0" fontId="7" fillId="0" borderId="0" xfId="0" applyFont="1" applyBorder="1" applyProtection="1"/>
    <xf numFmtId="0" fontId="7" fillId="0" borderId="8" xfId="0" applyFont="1" applyBorder="1" applyProtection="1"/>
    <xf numFmtId="0" fontId="7" fillId="0" borderId="13" xfId="0" applyFont="1" applyBorder="1" applyAlignment="1" applyProtection="1">
      <alignment horizontal="right"/>
    </xf>
    <xf numFmtId="167" fontId="7" fillId="2" borderId="3" xfId="0" applyNumberFormat="1" applyFont="1" applyFill="1" applyBorder="1" applyAlignment="1" applyProtection="1">
      <alignment horizontal="center"/>
      <protection locked="0"/>
    </xf>
    <xf numFmtId="0" fontId="7" fillId="0" borderId="0" xfId="0" applyFont="1" applyBorder="1" applyAlignment="1" applyProtection="1">
      <alignment wrapText="1"/>
    </xf>
    <xf numFmtId="0" fontId="11" fillId="0" borderId="0" xfId="0" applyFont="1" applyBorder="1" applyProtection="1"/>
    <xf numFmtId="0" fontId="12" fillId="0" borderId="13" xfId="0" applyFont="1" applyBorder="1" applyProtection="1"/>
    <xf numFmtId="4" fontId="7" fillId="0" borderId="2" xfId="0" applyNumberFormat="1" applyFont="1" applyBorder="1" applyAlignment="1" applyProtection="1">
      <alignment horizontal="center"/>
    </xf>
    <xf numFmtId="4" fontId="7" fillId="0" borderId="0" xfId="0" applyNumberFormat="1" applyFont="1" applyBorder="1" applyAlignment="1" applyProtection="1">
      <alignment horizontal="center"/>
    </xf>
    <xf numFmtId="0" fontId="7" fillId="2" borderId="3" xfId="0" applyFont="1" applyFill="1" applyBorder="1" applyAlignment="1" applyProtection="1">
      <alignment horizontal="center"/>
      <protection locked="0"/>
    </xf>
    <xf numFmtId="0" fontId="10" fillId="0" borderId="0" xfId="0" applyFont="1" applyBorder="1" applyProtection="1"/>
    <xf numFmtId="164" fontId="7" fillId="2" borderId="3" xfId="0" applyNumberFormat="1" applyFont="1" applyFill="1" applyBorder="1" applyAlignment="1" applyProtection="1">
      <alignment horizontal="center"/>
      <protection locked="0"/>
    </xf>
    <xf numFmtId="168" fontId="7" fillId="0" borderId="2" xfId="0" applyNumberFormat="1" applyFont="1" applyBorder="1" applyAlignment="1" applyProtection="1">
      <alignment horizontal="center"/>
    </xf>
    <xf numFmtId="0" fontId="7" fillId="0" borderId="0" xfId="0" applyFont="1" applyBorder="1" applyAlignment="1" applyProtection="1">
      <alignment horizontal="left"/>
    </xf>
    <xf numFmtId="0" fontId="7" fillId="0" borderId="8" xfId="0" applyFont="1" applyBorder="1" applyAlignment="1" applyProtection="1">
      <alignment horizontal="left"/>
    </xf>
    <xf numFmtId="0" fontId="12" fillId="0" borderId="11" xfId="0" applyFont="1" applyBorder="1" applyProtection="1"/>
    <xf numFmtId="0" fontId="7" fillId="0" borderId="12" xfId="0" applyFont="1" applyBorder="1" applyProtection="1"/>
    <xf numFmtId="0" fontId="7" fillId="0" borderId="7" xfId="0" applyFont="1" applyBorder="1" applyProtection="1"/>
    <xf numFmtId="0" fontId="13" fillId="0" borderId="13" xfId="2" applyFont="1" applyBorder="1" applyAlignment="1" applyProtection="1">
      <alignment vertical="top"/>
    </xf>
    <xf numFmtId="0" fontId="7" fillId="0" borderId="0" xfId="0" applyFont="1" applyBorder="1" applyAlignment="1" applyProtection="1">
      <alignment vertical="top"/>
    </xf>
    <xf numFmtId="0" fontId="7" fillId="0" borderId="8" xfId="0" applyFont="1" applyBorder="1" applyAlignment="1" applyProtection="1">
      <alignment vertical="top"/>
    </xf>
    <xf numFmtId="0" fontId="7" fillId="0" borderId="0" xfId="0" applyFont="1" applyAlignment="1" applyProtection="1">
      <alignment vertical="top" wrapText="1"/>
    </xf>
    <xf numFmtId="0" fontId="7" fillId="0" borderId="0" xfId="0" applyFont="1" applyAlignment="1" applyProtection="1">
      <alignment vertical="top"/>
    </xf>
    <xf numFmtId="0" fontId="7" fillId="0" borderId="13" xfId="0" applyFont="1" applyBorder="1" applyAlignment="1" applyProtection="1">
      <alignment horizontal="right" vertical="center"/>
    </xf>
    <xf numFmtId="0" fontId="14" fillId="0" borderId="0" xfId="0" quotePrefix="1" applyFont="1" applyBorder="1" applyProtection="1"/>
    <xf numFmtId="0" fontId="7" fillId="0" borderId="0" xfId="0" applyFont="1" applyBorder="1" applyAlignment="1" applyProtection="1">
      <alignment horizontal="right" vertical="center"/>
    </xf>
    <xf numFmtId="0" fontId="12" fillId="0" borderId="13" xfId="0" applyFont="1" applyBorder="1" applyAlignment="1" applyProtection="1">
      <alignment horizontal="center"/>
    </xf>
    <xf numFmtId="0" fontId="12" fillId="0" borderId="0" xfId="0" applyFont="1" applyBorder="1" applyAlignment="1" applyProtection="1">
      <alignment horizontal="center"/>
    </xf>
    <xf numFmtId="0" fontId="12" fillId="0" borderId="0" xfId="0" applyFont="1" applyFill="1" applyBorder="1" applyAlignment="1" applyProtection="1">
      <alignment horizontal="center"/>
    </xf>
    <xf numFmtId="0" fontId="15" fillId="0" borderId="0" xfId="0" applyFont="1" applyBorder="1" applyAlignment="1" applyProtection="1">
      <alignment horizontal="center" wrapText="1"/>
    </xf>
    <xf numFmtId="9" fontId="7" fillId="0" borderId="13" xfId="1" applyFont="1" applyBorder="1" applyAlignment="1" applyProtection="1">
      <alignment horizontal="center"/>
    </xf>
    <xf numFmtId="2" fontId="7" fillId="2" borderId="3" xfId="0" applyNumberFormat="1" applyFont="1" applyFill="1" applyBorder="1" applyAlignment="1" applyProtection="1">
      <alignment horizontal="center"/>
      <protection locked="0"/>
    </xf>
    <xf numFmtId="2" fontId="7" fillId="0" borderId="3" xfId="0" applyNumberFormat="1" applyFont="1" applyFill="1" applyBorder="1" applyAlignment="1" applyProtection="1">
      <alignment horizontal="center"/>
      <protection locked="0"/>
    </xf>
    <xf numFmtId="2" fontId="7" fillId="0" borderId="2" xfId="0" applyNumberFormat="1" applyFont="1" applyFill="1" applyBorder="1" applyAlignment="1" applyProtection="1">
      <alignment horizontal="center"/>
    </xf>
    <xf numFmtId="2" fontId="7" fillId="0" borderId="2" xfId="0" applyNumberFormat="1" applyFont="1" applyBorder="1" applyAlignment="1" applyProtection="1">
      <alignment horizontal="center"/>
    </xf>
    <xf numFmtId="0" fontId="7" fillId="0" borderId="2" xfId="0" applyFont="1" applyBorder="1" applyAlignment="1" applyProtection="1">
      <alignment horizontal="center"/>
    </xf>
    <xf numFmtId="2" fontId="7" fillId="0" borderId="0" xfId="0" applyNumberFormat="1" applyFont="1" applyFill="1" applyBorder="1" applyProtection="1"/>
    <xf numFmtId="0" fontId="7" fillId="0" borderId="0" xfId="0" applyFont="1" applyBorder="1" applyAlignment="1" applyProtection="1">
      <alignment horizontal="center"/>
    </xf>
    <xf numFmtId="2" fontId="12" fillId="0" borderId="2" xfId="0" applyNumberFormat="1" applyFont="1" applyFill="1" applyBorder="1" applyAlignment="1" applyProtection="1">
      <alignment horizontal="center"/>
    </xf>
    <xf numFmtId="2" fontId="12" fillId="0" borderId="2" xfId="0" applyNumberFormat="1" applyFont="1" applyBorder="1" applyAlignment="1" applyProtection="1">
      <alignment horizontal="center"/>
    </xf>
    <xf numFmtId="0" fontId="7" fillId="0" borderId="14" xfId="0" applyFont="1" applyBorder="1" applyProtection="1"/>
    <xf numFmtId="0" fontId="7" fillId="0" borderId="15" xfId="0" applyFont="1" applyBorder="1" applyProtection="1"/>
    <xf numFmtId="0" fontId="7" fillId="0" borderId="9" xfId="0" applyFont="1" applyBorder="1" applyProtection="1"/>
    <xf numFmtId="0" fontId="12" fillId="0" borderId="13" xfId="0" applyFont="1" applyBorder="1" applyAlignment="1" applyProtection="1">
      <alignment horizontal="right"/>
    </xf>
    <xf numFmtId="0" fontId="12" fillId="0" borderId="0" xfId="0" applyFont="1" applyBorder="1" applyProtection="1"/>
    <xf numFmtId="0" fontId="15" fillId="0" borderId="0" xfId="0" applyFont="1" applyBorder="1" applyAlignment="1" applyProtection="1">
      <alignment horizontal="right"/>
    </xf>
    <xf numFmtId="0" fontId="16" fillId="0" borderId="13" xfId="0" applyFont="1" applyBorder="1" applyAlignment="1" applyProtection="1">
      <alignment horizontal="right"/>
    </xf>
    <xf numFmtId="4" fontId="16" fillId="0" borderId="2" xfId="0" applyNumberFormat="1" applyFont="1" applyBorder="1" applyAlignment="1" applyProtection="1">
      <alignment horizontal="center"/>
    </xf>
    <xf numFmtId="0" fontId="17" fillId="0" borderId="0" xfId="0" applyFont="1" applyBorder="1" applyProtection="1"/>
    <xf numFmtId="0" fontId="8" fillId="0" borderId="13" xfId="0" applyFont="1" applyBorder="1" applyAlignment="1" applyProtection="1">
      <alignment horizontal="right"/>
    </xf>
    <xf numFmtId="0" fontId="19" fillId="0" borderId="2" xfId="0" applyFont="1" applyBorder="1" applyAlignment="1" applyProtection="1">
      <alignment horizontal="left"/>
    </xf>
    <xf numFmtId="0" fontId="7" fillId="0" borderId="2" xfId="0" applyNumberFormat="1" applyFont="1" applyBorder="1" applyAlignment="1" applyProtection="1">
      <alignment horizontal="center"/>
    </xf>
    <xf numFmtId="0" fontId="7" fillId="0" borderId="2" xfId="0" applyNumberFormat="1" applyFont="1" applyFill="1" applyBorder="1" applyAlignment="1" applyProtection="1">
      <alignment horizontal="center"/>
    </xf>
    <xf numFmtId="164" fontId="7" fillId="0" borderId="2" xfId="0" applyNumberFormat="1" applyFont="1" applyBorder="1" applyAlignment="1" applyProtection="1">
      <alignment horizontal="center"/>
    </xf>
    <xf numFmtId="166" fontId="7" fillId="0" borderId="2" xfId="0" applyNumberFormat="1" applyFont="1" applyBorder="1" applyAlignment="1" applyProtection="1">
      <alignment horizontal="center"/>
    </xf>
    <xf numFmtId="164" fontId="7" fillId="0" borderId="2" xfId="0" applyNumberFormat="1" applyFont="1" applyFill="1" applyBorder="1" applyAlignment="1" applyProtection="1">
      <alignment horizontal="center"/>
    </xf>
    <xf numFmtId="0" fontId="19" fillId="0" borderId="0" xfId="0" applyFont="1" applyFill="1" applyBorder="1" applyAlignment="1" applyProtection="1">
      <alignment horizontal="left"/>
    </xf>
    <xf numFmtId="0" fontId="7" fillId="0" borderId="2" xfId="0" applyFont="1" applyBorder="1" applyProtection="1"/>
    <xf numFmtId="2" fontId="7" fillId="0" borderId="2" xfId="0" applyNumberFormat="1" applyFont="1" applyBorder="1" applyProtection="1"/>
    <xf numFmtId="0" fontId="20" fillId="0" borderId="0" xfId="0" applyFont="1" applyProtection="1"/>
    <xf numFmtId="0" fontId="12" fillId="0" borderId="0" xfId="0" applyFont="1" applyBorder="1" applyAlignment="1" applyProtection="1">
      <alignment vertical="center" wrapText="1"/>
    </xf>
    <xf numFmtId="0" fontId="7" fillId="0" borderId="0" xfId="0" applyFont="1" applyBorder="1" applyAlignment="1" applyProtection="1">
      <alignment vertical="center" wrapText="1"/>
    </xf>
    <xf numFmtId="0" fontId="7" fillId="0" borderId="0" xfId="0" applyFont="1" applyFill="1" applyBorder="1" applyAlignment="1" applyProtection="1">
      <alignment vertical="center" wrapText="1"/>
    </xf>
    <xf numFmtId="0" fontId="12" fillId="0" borderId="0" xfId="0" applyFont="1" applyProtection="1"/>
    <xf numFmtId="0" fontId="12" fillId="4" borderId="13" xfId="0" applyFont="1" applyFill="1" applyBorder="1" applyAlignment="1" applyProtection="1">
      <alignment horizontal="right"/>
    </xf>
    <xf numFmtId="0" fontId="12" fillId="4" borderId="0" xfId="0" applyFont="1" applyFill="1" applyBorder="1" applyAlignment="1" applyProtection="1">
      <alignment horizontal="left"/>
    </xf>
    <xf numFmtId="0" fontId="7" fillId="4" borderId="0" xfId="0" applyFont="1" applyFill="1" applyBorder="1" applyAlignment="1" applyProtection="1">
      <alignment wrapText="1"/>
    </xf>
    <xf numFmtId="0" fontId="7" fillId="4" borderId="0" xfId="0" applyFont="1" applyFill="1" applyBorder="1" applyProtection="1"/>
    <xf numFmtId="0" fontId="7" fillId="4" borderId="8" xfId="0" applyFont="1" applyFill="1" applyBorder="1" applyProtection="1"/>
    <xf numFmtId="0" fontId="7" fillId="4" borderId="13" xfId="0" applyFont="1" applyFill="1" applyBorder="1" applyAlignment="1" applyProtection="1">
      <alignment horizontal="right"/>
    </xf>
    <xf numFmtId="0" fontId="7" fillId="4" borderId="0" xfId="0" applyFont="1" applyFill="1" applyBorder="1" applyAlignment="1" applyProtection="1">
      <alignment horizontal="left"/>
    </xf>
    <xf numFmtId="0" fontId="7" fillId="4" borderId="13" xfId="0" applyFont="1" applyFill="1" applyBorder="1" applyProtection="1"/>
    <xf numFmtId="0" fontId="10" fillId="4" borderId="13" xfId="0" applyFont="1" applyFill="1" applyBorder="1" applyProtection="1"/>
    <xf numFmtId="0" fontId="22" fillId="0" borderId="0" xfId="0" applyFont="1" applyBorder="1" applyAlignment="1" applyProtection="1">
      <alignment horizontal="left"/>
    </xf>
    <xf numFmtId="0" fontId="23" fillId="0" borderId="0" xfId="0" applyFont="1" applyBorder="1" applyProtection="1"/>
    <xf numFmtId="0" fontId="24" fillId="0" borderId="0" xfId="0" applyFont="1" applyBorder="1" applyAlignment="1" applyProtection="1">
      <alignment horizontal="right"/>
    </xf>
    <xf numFmtId="165" fontId="12" fillId="0" borderId="0" xfId="0" applyNumberFormat="1" applyFont="1" applyBorder="1" applyAlignment="1" applyProtection="1">
      <alignment horizontal="center"/>
    </xf>
    <xf numFmtId="167" fontId="12" fillId="0" borderId="0" xfId="0" applyNumberFormat="1" applyFont="1" applyBorder="1" applyAlignment="1" applyProtection="1">
      <alignment horizontal="center"/>
    </xf>
    <xf numFmtId="165" fontId="12" fillId="0" borderId="1" xfId="0" applyNumberFormat="1" applyFont="1" applyBorder="1" applyAlignment="1" applyProtection="1">
      <alignment horizontal="center"/>
    </xf>
    <xf numFmtId="0" fontId="9" fillId="0" borderId="0" xfId="3" applyFont="1" applyFill="1" applyBorder="1" applyAlignment="1" applyProtection="1">
      <alignment horizontal="center"/>
    </xf>
    <xf numFmtId="0" fontId="7" fillId="0" borderId="20" xfId="0" applyFont="1" applyBorder="1" applyProtection="1"/>
    <xf numFmtId="0" fontId="10" fillId="4" borderId="0" xfId="0" applyFont="1" applyFill="1" applyBorder="1" applyProtection="1"/>
    <xf numFmtId="0" fontId="7" fillId="0" borderId="0" xfId="0" applyFont="1" applyFill="1" applyProtection="1"/>
    <xf numFmtId="0" fontId="25" fillId="5" borderId="0" xfId="0" applyFont="1" applyFill="1" applyProtection="1"/>
    <xf numFmtId="0" fontId="10" fillId="0" borderId="0" xfId="0" applyFont="1" applyProtection="1"/>
    <xf numFmtId="0" fontId="25" fillId="5" borderId="0" xfId="0" applyFont="1" applyFill="1" applyBorder="1" applyProtection="1"/>
    <xf numFmtId="0" fontId="25" fillId="5" borderId="21" xfId="0" applyFont="1" applyFill="1" applyBorder="1" applyProtection="1"/>
    <xf numFmtId="0" fontId="7" fillId="0" borderId="0" xfId="0" applyFont="1" applyBorder="1" applyAlignment="1" applyProtection="1">
      <alignment horizontal="right"/>
    </xf>
    <xf numFmtId="0" fontId="12" fillId="4" borderId="0" xfId="0" applyFont="1" applyFill="1" applyBorder="1" applyAlignment="1" applyProtection="1">
      <alignment horizontal="right"/>
    </xf>
    <xf numFmtId="0" fontId="7" fillId="4" borderId="0" xfId="0" applyFont="1" applyFill="1" applyBorder="1" applyAlignment="1" applyProtection="1">
      <alignment horizontal="right"/>
    </xf>
    <xf numFmtId="0" fontId="12" fillId="0" borderId="12" xfId="0" applyFont="1" applyBorder="1" applyProtection="1"/>
    <xf numFmtId="0" fontId="13" fillId="0" borderId="0" xfId="2" applyFont="1" applyBorder="1" applyAlignment="1" applyProtection="1">
      <alignment vertical="top"/>
    </xf>
    <xf numFmtId="9" fontId="7" fillId="0" borderId="0" xfId="1" applyFont="1" applyBorder="1" applyAlignment="1" applyProtection="1">
      <alignment horizontal="center"/>
    </xf>
    <xf numFmtId="0" fontId="12" fillId="0" borderId="0" xfId="0" applyFont="1" applyBorder="1" applyAlignment="1" applyProtection="1">
      <alignment horizontal="right"/>
    </xf>
    <xf numFmtId="0" fontId="16" fillId="0" borderId="0" xfId="0" applyFont="1" applyBorder="1" applyAlignment="1" applyProtection="1">
      <alignment horizontal="right"/>
    </xf>
    <xf numFmtId="0" fontId="8" fillId="0" borderId="0" xfId="0" applyFont="1" applyBorder="1" applyAlignment="1" applyProtection="1">
      <alignment horizontal="right"/>
    </xf>
    <xf numFmtId="0" fontId="26" fillId="5" borderId="0" xfId="0" applyFont="1" applyFill="1" applyAlignment="1" applyProtection="1">
      <alignment horizontal="center"/>
    </xf>
    <xf numFmtId="0" fontId="26" fillId="5" borderId="0" xfId="0" applyFont="1" applyFill="1" applyAlignment="1" applyProtection="1">
      <alignment horizontal="center" wrapText="1"/>
    </xf>
    <xf numFmtId="0" fontId="7" fillId="0" borderId="2" xfId="0" applyFont="1" applyBorder="1" applyAlignment="1" applyProtection="1">
      <alignment horizontal="center" vertical="center"/>
    </xf>
    <xf numFmtId="167" fontId="7" fillId="0" borderId="2" xfId="0" applyNumberFormat="1" applyFont="1" applyBorder="1" applyAlignment="1" applyProtection="1">
      <alignment horizontal="center" vertical="center"/>
    </xf>
    <xf numFmtId="4" fontId="7" fillId="0" borderId="2" xfId="0" applyNumberFormat="1" applyFont="1" applyBorder="1" applyAlignment="1" applyProtection="1">
      <alignment horizontal="center" vertical="center"/>
    </xf>
    <xf numFmtId="2" fontId="7" fillId="0" borderId="2" xfId="0" applyNumberFormat="1" applyFont="1" applyBorder="1" applyAlignment="1" applyProtection="1">
      <alignment horizontal="center" vertical="center"/>
    </xf>
    <xf numFmtId="0" fontId="28" fillId="0" borderId="0" xfId="0" applyFont="1" applyAlignment="1" applyProtection="1">
      <alignment vertical="top"/>
    </xf>
    <xf numFmtId="165" fontId="7" fillId="0" borderId="2" xfId="0" applyNumberFormat="1" applyFont="1" applyBorder="1" applyAlignment="1" applyProtection="1">
      <alignment horizontal="center" vertical="center" wrapText="1"/>
    </xf>
    <xf numFmtId="165" fontId="7" fillId="0" borderId="0" xfId="0" applyNumberFormat="1" applyFont="1" applyAlignment="1" applyProtection="1">
      <alignment wrapText="1"/>
    </xf>
    <xf numFmtId="165" fontId="7" fillId="0" borderId="2" xfId="0" applyNumberFormat="1" applyFont="1" applyBorder="1" applyAlignment="1" applyProtection="1">
      <alignment horizontal="center" vertical="center"/>
    </xf>
    <xf numFmtId="0" fontId="29" fillId="0" borderId="2" xfId="0" applyFont="1" applyBorder="1" applyAlignment="1" applyProtection="1">
      <alignment horizontal="center" wrapText="1"/>
    </xf>
    <xf numFmtId="0" fontId="29" fillId="0" borderId="2" xfId="0" quotePrefix="1" applyFont="1" applyBorder="1" applyAlignment="1" applyProtection="1">
      <alignment horizontal="center" wrapText="1"/>
    </xf>
    <xf numFmtId="4" fontId="7" fillId="0" borderId="0" xfId="0" applyNumberFormat="1" applyFont="1" applyProtection="1"/>
    <xf numFmtId="0" fontId="30" fillId="6" borderId="0" xfId="0" applyFont="1" applyFill="1" applyAlignment="1" applyProtection="1">
      <alignment horizontal="center"/>
    </xf>
    <xf numFmtId="165" fontId="7" fillId="0" borderId="0" xfId="0" applyNumberFormat="1" applyFont="1" applyProtection="1"/>
    <xf numFmtId="0" fontId="7" fillId="0" borderId="23" xfId="0" applyFont="1" applyBorder="1" applyAlignment="1" applyProtection="1">
      <alignment horizontal="center" vertical="center"/>
    </xf>
    <xf numFmtId="0" fontId="7" fillId="0" borderId="24" xfId="0" applyFont="1" applyBorder="1" applyAlignment="1" applyProtection="1">
      <alignment horizontal="center" vertical="center"/>
    </xf>
    <xf numFmtId="0" fontId="25" fillId="5" borderId="0" xfId="0" applyFont="1" applyFill="1" applyBorder="1" applyAlignment="1" applyProtection="1">
      <alignment horizontal="center"/>
    </xf>
    <xf numFmtId="0" fontId="17" fillId="5" borderId="21" xfId="0" applyFont="1" applyFill="1" applyBorder="1" applyAlignment="1" applyProtection="1">
      <alignment horizontal="center"/>
    </xf>
    <xf numFmtId="0" fontId="26" fillId="5" borderId="22" xfId="0" applyFont="1" applyFill="1" applyBorder="1" applyAlignment="1" applyProtection="1">
      <alignment wrapText="1"/>
    </xf>
    <xf numFmtId="0" fontId="7" fillId="0" borderId="2" xfId="0" applyFont="1" applyBorder="1" applyAlignment="1" applyProtection="1">
      <alignment vertical="center"/>
    </xf>
    <xf numFmtId="0" fontId="9" fillId="2" borderId="19" xfId="3" applyFont="1" applyFill="1" applyBorder="1" applyAlignment="1" applyProtection="1">
      <alignment horizontal="left"/>
    </xf>
    <xf numFmtId="0" fontId="9" fillId="2" borderId="0" xfId="3" applyFont="1" applyFill="1" applyBorder="1" applyAlignment="1" applyProtection="1">
      <alignment horizontal="left"/>
    </xf>
    <xf numFmtId="0" fontId="7" fillId="2" borderId="4" xfId="0" applyFont="1" applyFill="1" applyBorder="1" applyAlignment="1" applyProtection="1">
      <alignment horizontal="left"/>
      <protection locked="0"/>
    </xf>
    <xf numFmtId="0" fontId="7" fillId="2" borderId="5" xfId="0" applyFont="1" applyFill="1" applyBorder="1" applyAlignment="1" applyProtection="1">
      <alignment horizontal="left"/>
      <protection locked="0"/>
    </xf>
    <xf numFmtId="0" fontId="7" fillId="2" borderId="6" xfId="0" applyFont="1" applyFill="1" applyBorder="1" applyAlignment="1" applyProtection="1">
      <alignment horizontal="left"/>
      <protection locked="0"/>
    </xf>
    <xf numFmtId="0" fontId="18" fillId="0" borderId="2" xfId="0" applyFont="1" applyBorder="1" applyAlignment="1" applyProtection="1">
      <alignment horizontal="center" wrapText="1"/>
    </xf>
    <xf numFmtId="0" fontId="29" fillId="0" borderId="2" xfId="0" applyFont="1" applyBorder="1" applyAlignment="1">
      <alignment horizontal="center" wrapText="1"/>
    </xf>
    <xf numFmtId="0" fontId="18" fillId="0" borderId="2" xfId="0" applyFont="1" applyBorder="1" applyAlignment="1">
      <alignment horizontal="center" wrapText="1"/>
    </xf>
    <xf numFmtId="0" fontId="21" fillId="3" borderId="16" xfId="0" applyFont="1" applyFill="1" applyBorder="1" applyAlignment="1" applyProtection="1">
      <alignment horizontal="center"/>
    </xf>
    <xf numFmtId="0" fontId="21" fillId="3" borderId="17" xfId="0" applyFont="1" applyFill="1" applyBorder="1" applyAlignment="1" applyProtection="1">
      <alignment horizontal="center"/>
    </xf>
    <xf numFmtId="0" fontId="21" fillId="3" borderId="18" xfId="0" applyFont="1" applyFill="1" applyBorder="1" applyAlignment="1" applyProtection="1">
      <alignment horizontal="center"/>
    </xf>
    <xf numFmtId="0" fontId="26" fillId="5" borderId="0" xfId="0" applyFont="1" applyFill="1" applyBorder="1" applyAlignment="1" applyProtection="1">
      <alignment horizontal="center" wrapText="1"/>
    </xf>
    <xf numFmtId="0" fontId="7" fillId="0" borderId="2" xfId="0" applyFont="1" applyBorder="1" applyAlignment="1" applyProtection="1">
      <alignment horizontal="center" vertical="center"/>
    </xf>
    <xf numFmtId="0" fontId="26" fillId="5" borderId="22" xfId="0" applyFont="1" applyFill="1" applyBorder="1" applyAlignment="1" applyProtection="1">
      <alignment horizontal="center" wrapText="1"/>
    </xf>
    <xf numFmtId="0" fontId="7" fillId="0" borderId="25" xfId="0" applyFont="1" applyBorder="1" applyAlignment="1" applyProtection="1">
      <alignment horizontal="center" vertical="center"/>
    </xf>
    <xf numFmtId="0" fontId="19" fillId="0" borderId="0" xfId="0" applyFont="1" applyBorder="1" applyAlignment="1" applyProtection="1">
      <alignment vertical="center" wrapText="1"/>
    </xf>
    <xf numFmtId="0" fontId="19" fillId="0" borderId="8" xfId="0" applyFont="1" applyBorder="1" applyAlignment="1" applyProtection="1">
      <alignment vertical="center" wrapText="1"/>
    </xf>
    <xf numFmtId="0" fontId="25" fillId="5" borderId="0" xfId="0" applyFont="1" applyFill="1" applyAlignment="1" applyProtection="1">
      <alignment horizontal="center"/>
    </xf>
    <xf numFmtId="0" fontId="12" fillId="0" borderId="2" xfId="0" applyFont="1" applyBorder="1" applyAlignment="1" applyProtection="1">
      <alignment horizontal="center"/>
    </xf>
    <xf numFmtId="0" fontId="7" fillId="0" borderId="2" xfId="0" applyFont="1" applyBorder="1" applyAlignment="1" applyProtection="1">
      <alignment horizontal="center" wrapText="1"/>
    </xf>
    <xf numFmtId="0" fontId="15" fillId="0" borderId="10" xfId="0" applyFont="1" applyBorder="1" applyAlignment="1" applyProtection="1">
      <alignment horizontal="center" wrapText="1"/>
    </xf>
    <xf numFmtId="2" fontId="7" fillId="2" borderId="4" xfId="0" applyNumberFormat="1" applyFont="1" applyFill="1" applyBorder="1" applyAlignment="1" applyProtection="1">
      <alignment horizontal="left"/>
      <protection locked="0"/>
    </xf>
    <xf numFmtId="2" fontId="7" fillId="2" borderId="6" xfId="0" applyNumberFormat="1" applyFont="1" applyFill="1" applyBorder="1" applyAlignment="1" applyProtection="1">
      <alignment horizontal="left"/>
      <protection locked="0"/>
    </xf>
    <xf numFmtId="2" fontId="16" fillId="0" borderId="2" xfId="0" applyNumberFormat="1" applyFont="1" applyBorder="1" applyAlignment="1" applyProtection="1">
      <alignment horizontal="center"/>
    </xf>
    <xf numFmtId="0" fontId="18" fillId="0" borderId="0" xfId="0" applyFont="1" applyBorder="1" applyAlignment="1" applyProtection="1">
      <alignment horizontal="center" wrapText="1"/>
    </xf>
    <xf numFmtId="0" fontId="18" fillId="0" borderId="10" xfId="0" applyFont="1" applyBorder="1" applyAlignment="1" applyProtection="1">
      <alignment horizontal="center" wrapText="1"/>
    </xf>
    <xf numFmtId="0" fontId="7" fillId="0" borderId="0" xfId="0" applyFont="1" applyFill="1" applyAlignment="1" applyProtection="1">
      <alignment wrapText="1"/>
    </xf>
    <xf numFmtId="0" fontId="32" fillId="0" borderId="0" xfId="3" applyFont="1" applyFill="1" applyBorder="1" applyAlignment="1" applyProtection="1">
      <alignment horizontal="left" wrapText="1"/>
    </xf>
  </cellXfs>
  <cellStyles count="4">
    <cellStyle name="Hyperlink" xfId="2" builtinId="8"/>
    <cellStyle name="Normal" xfId="0" builtinId="0"/>
    <cellStyle name="Normal 2" xfId="3"/>
    <cellStyle name="Percent" xfId="1" builtinId="5"/>
  </cellStyles>
  <dxfs count="6">
    <dxf>
      <font>
        <color rgb="FFFF0000"/>
      </font>
    </dxf>
    <dxf>
      <font>
        <color rgb="FFFF0000"/>
      </font>
    </dxf>
    <dxf>
      <font>
        <color rgb="FFFF0000"/>
      </font>
    </dxf>
    <dxf>
      <font>
        <color rgb="FFFF0000"/>
      </font>
    </dxf>
    <dxf>
      <font>
        <color rgb="FFFF0000"/>
      </font>
    </dxf>
    <dxf>
      <fill>
        <patternFill>
          <bgColor rgb="FFFFFFCC"/>
        </patternFill>
      </fill>
    </dxf>
  </dxfs>
  <tableStyles count="0" defaultTableStyle="TableStyleMedium2" defaultPivotStyle="PivotStyleLight16"/>
  <colors>
    <mruColors>
      <color rgb="FF6DC8BF"/>
      <color rgb="FF7AC143"/>
      <color rgb="FF004A62"/>
      <color rgb="FFD2EDF4"/>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6</xdr:col>
      <xdr:colOff>571500</xdr:colOff>
      <xdr:row>0</xdr:row>
      <xdr:rowOff>28575</xdr:rowOff>
    </xdr:from>
    <xdr:to>
      <xdr:col>8</xdr:col>
      <xdr:colOff>591609</xdr:colOff>
      <xdr:row>2</xdr:row>
      <xdr:rowOff>142593</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314950" y="28575"/>
          <a:ext cx="1915583" cy="52359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hrinet.org/App_Content/ahri/files/standards%20pdfs/AHRI%20standards%20pdfs/AHRI%20Standard%20550-590%20(I-P)-2011.pdf"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146"/>
  <sheetViews>
    <sheetView tabSelected="1" zoomScale="130" zoomScaleNormal="130" workbookViewId="0"/>
  </sheetViews>
  <sheetFormatPr defaultRowHeight="15.75" x14ac:dyDescent="0.3"/>
  <cols>
    <col min="1" max="1" width="11.28515625" style="1" customWidth="1"/>
    <col min="2" max="2" width="16" style="1" customWidth="1"/>
    <col min="3" max="3" width="18.7109375" style="1" customWidth="1"/>
    <col min="4" max="5" width="14.7109375" style="1" customWidth="1"/>
    <col min="6" max="6" width="12.7109375" style="1" customWidth="1"/>
    <col min="7" max="7" width="15.7109375" style="1" customWidth="1"/>
    <col min="8" max="8" width="12.7109375" style="1" customWidth="1"/>
    <col min="9" max="9" width="14.85546875" style="1" customWidth="1"/>
    <col min="10" max="10" width="12.7109375" style="2" customWidth="1"/>
    <col min="11" max="12" width="13.85546875" style="1" customWidth="1"/>
    <col min="13" max="13" width="12" style="1" customWidth="1"/>
    <col min="14" max="14" width="45.7109375" style="1" hidden="1" customWidth="1"/>
    <col min="15" max="15" width="51.7109375" style="1" hidden="1" customWidth="1"/>
    <col min="16" max="16" width="14.85546875" style="1" hidden="1" customWidth="1"/>
    <col min="17" max="17" width="10.28515625" style="1" hidden="1" customWidth="1"/>
    <col min="18" max="18" width="15" style="1" hidden="1" customWidth="1"/>
    <col min="19" max="19" width="9.7109375" style="1" hidden="1" customWidth="1"/>
    <col min="20" max="20" width="9.28515625" style="1" hidden="1" customWidth="1"/>
    <col min="21" max="21" width="9.85546875" style="1" hidden="1" customWidth="1"/>
    <col min="22" max="22" width="9.28515625" style="1" hidden="1" customWidth="1"/>
    <col min="23" max="23" width="12.7109375" style="1" hidden="1" customWidth="1"/>
    <col min="24" max="24" width="9.28515625" style="1" hidden="1" customWidth="1"/>
    <col min="25" max="25" width="12.140625" style="1" hidden="1" customWidth="1"/>
    <col min="26" max="26" width="15" style="1" hidden="1" customWidth="1"/>
    <col min="27" max="27" width="9.140625" style="1" customWidth="1"/>
    <col min="28" max="30" width="9.140625" style="1"/>
    <col min="31" max="31" width="12.140625" style="1" customWidth="1"/>
    <col min="32" max="16384" width="9.140625" style="1"/>
  </cols>
  <sheetData>
    <row r="1" spans="1:26" x14ac:dyDescent="0.3">
      <c r="N1" s="114" t="s">
        <v>122</v>
      </c>
      <c r="O1" s="114" t="s">
        <v>122</v>
      </c>
      <c r="P1" s="114" t="s">
        <v>122</v>
      </c>
      <c r="Q1" s="114" t="s">
        <v>122</v>
      </c>
      <c r="R1" s="114" t="s">
        <v>122</v>
      </c>
      <c r="S1" s="114" t="s">
        <v>122</v>
      </c>
      <c r="T1" s="114" t="s">
        <v>122</v>
      </c>
      <c r="U1" s="114" t="s">
        <v>122</v>
      </c>
      <c r="V1" s="114" t="s">
        <v>122</v>
      </c>
      <c r="W1" s="114" t="s">
        <v>122</v>
      </c>
      <c r="X1" s="114" t="s">
        <v>122</v>
      </c>
      <c r="Y1" s="114" t="s">
        <v>122</v>
      </c>
      <c r="Z1" s="114" t="s">
        <v>122</v>
      </c>
    </row>
    <row r="2" spans="1:26" ht="16.5" x14ac:dyDescent="0.3">
      <c r="A2" s="3" t="s">
        <v>126</v>
      </c>
      <c r="B2" s="3"/>
    </row>
    <row r="3" spans="1:26" ht="16.5" x14ac:dyDescent="0.3">
      <c r="A3" s="3"/>
      <c r="B3" s="3"/>
      <c r="F3" s="84"/>
    </row>
    <row r="4" spans="1:26" s="87" customFormat="1" ht="30" customHeight="1" x14ac:dyDescent="0.3">
      <c r="A4" s="149" t="s">
        <v>133</v>
      </c>
      <c r="B4" s="149"/>
      <c r="C4" s="149"/>
      <c r="D4" s="149"/>
      <c r="E4" s="149"/>
      <c r="F4" s="149"/>
      <c r="G4" s="149"/>
      <c r="H4" s="149"/>
      <c r="I4" s="149"/>
      <c r="J4" s="148"/>
    </row>
    <row r="5" spans="1:26" ht="16.5" thickBot="1" x14ac:dyDescent="0.35">
      <c r="A5" s="122" t="s">
        <v>94</v>
      </c>
      <c r="B5" s="123"/>
      <c r="C5" s="123"/>
      <c r="D5" s="123"/>
      <c r="E5" s="123"/>
      <c r="F5" s="123"/>
      <c r="G5" s="123"/>
      <c r="H5" s="123"/>
    </row>
    <row r="6" spans="1:26" ht="16.5" x14ac:dyDescent="0.3">
      <c r="A6" s="130" t="s">
        <v>64</v>
      </c>
      <c r="B6" s="131"/>
      <c r="C6" s="131"/>
      <c r="D6" s="131"/>
      <c r="E6" s="131"/>
      <c r="F6" s="131"/>
      <c r="G6" s="131"/>
      <c r="H6" s="131"/>
      <c r="I6" s="132"/>
    </row>
    <row r="7" spans="1:26" ht="16.5" thickBot="1" x14ac:dyDescent="0.35">
      <c r="A7" s="4"/>
      <c r="B7" s="5"/>
      <c r="C7" s="5"/>
      <c r="D7" s="5"/>
      <c r="E7" s="5"/>
      <c r="F7" s="5"/>
      <c r="G7" s="5"/>
      <c r="H7" s="5"/>
      <c r="I7" s="85"/>
    </row>
    <row r="8" spans="1:26" ht="17.25" thickTop="1" thickBot="1" x14ac:dyDescent="0.35">
      <c r="A8" s="7"/>
      <c r="B8" s="92" t="s">
        <v>28</v>
      </c>
      <c r="C8" s="124"/>
      <c r="D8" s="125"/>
      <c r="E8" s="125"/>
      <c r="F8" s="125"/>
      <c r="G8" s="126"/>
      <c r="H8" s="5"/>
      <c r="I8" s="6"/>
    </row>
    <row r="9" spans="1:26" ht="17.25" thickTop="1" thickBot="1" x14ac:dyDescent="0.35">
      <c r="A9" s="7"/>
      <c r="B9" s="92" t="s">
        <v>88</v>
      </c>
      <c r="C9" s="8"/>
      <c r="D9" s="5" t="s">
        <v>2</v>
      </c>
      <c r="E9" s="86" t="s">
        <v>83</v>
      </c>
      <c r="F9" s="72"/>
      <c r="G9" s="72"/>
      <c r="H9" s="72"/>
      <c r="I9" s="73"/>
    </row>
    <row r="10" spans="1:26" ht="17.25" thickTop="1" thickBot="1" x14ac:dyDescent="0.35">
      <c r="A10" s="7"/>
      <c r="B10" s="92" t="s">
        <v>116</v>
      </c>
      <c r="C10" s="8" t="s">
        <v>117</v>
      </c>
      <c r="D10" s="5"/>
      <c r="E10" s="10" t="str">
        <f>IFERROR(IF(AND($C$9 &gt;= VLOOKUP($C$8,$O$102:$Q$111,2,FALSE), $C$9 &lt; VLOOKUP($C$8,$O$102:$Q$111,3,FALSE)),"", "Error: Chiller capacity doesn't match chiller description above"),"")</f>
        <v/>
      </c>
      <c r="F10" s="9"/>
      <c r="G10" s="9"/>
      <c r="H10" s="5"/>
      <c r="I10" s="6"/>
    </row>
    <row r="11" spans="1:26" ht="16.5" thickTop="1" x14ac:dyDescent="0.3">
      <c r="A11" s="7"/>
      <c r="B11" s="92"/>
      <c r="D11" s="9"/>
      <c r="E11" s="10" t="str">
        <f>IFERROR(IF(AND($C$9 &gt;= VLOOKUP($C$8,$O$102:$Q$111,2,FALSE), $C$9 &lt; VLOOKUP($C$8,$O$102:$Q$111,3,FALSE)),"", "Error: Chiller capacity doesn't match chiller description above"),"")</f>
        <v/>
      </c>
      <c r="F11" s="9"/>
      <c r="G11" s="9"/>
      <c r="H11" s="5"/>
      <c r="I11" s="6"/>
    </row>
    <row r="12" spans="1:26" x14ac:dyDescent="0.3">
      <c r="A12" s="69"/>
      <c r="B12" s="93" t="s">
        <v>42</v>
      </c>
      <c r="C12" s="70" t="str">
        <f>IF(LEFT(C8,3)="Air",O123,IF(LEFT(C8,5)="Water", N123, "Error - select appropriate Chiller Type"))</f>
        <v>Error - select appropriate Chiller Type</v>
      </c>
      <c r="D12" s="71"/>
      <c r="E12" s="71"/>
      <c r="F12" s="71"/>
      <c r="G12" s="71"/>
      <c r="H12" s="72"/>
      <c r="I12" s="73"/>
    </row>
    <row r="13" spans="1:26" x14ac:dyDescent="0.3">
      <c r="A13" s="74"/>
      <c r="B13" s="94"/>
      <c r="C13" s="75" t="str">
        <f>IFERROR(HLOOKUP($C$12,$N$123:$O$129,2,FALSE),"")</f>
        <v/>
      </c>
      <c r="D13" s="71"/>
      <c r="E13" s="71"/>
      <c r="F13" s="71"/>
      <c r="G13" s="71"/>
      <c r="H13" s="72"/>
      <c r="I13" s="73"/>
    </row>
    <row r="14" spans="1:26" x14ac:dyDescent="0.3">
      <c r="A14" s="74"/>
      <c r="B14" s="94"/>
      <c r="C14" s="75" t="str">
        <f>IFERROR(HLOOKUP($C$12,$N$123:$O$129,3,FALSE),"")</f>
        <v/>
      </c>
      <c r="D14" s="71"/>
      <c r="E14" s="71"/>
      <c r="F14" s="71"/>
      <c r="G14" s="71"/>
      <c r="H14" s="72"/>
      <c r="I14" s="73"/>
    </row>
    <row r="15" spans="1:26" x14ac:dyDescent="0.3">
      <c r="A15" s="74"/>
      <c r="B15" s="94"/>
      <c r="C15" s="75" t="str">
        <f>IFERROR(HLOOKUP($C$12,$N$123:$O$129,4,FALSE),"")</f>
        <v/>
      </c>
      <c r="D15" s="71"/>
      <c r="E15" s="71"/>
      <c r="F15" s="71"/>
      <c r="G15" s="71"/>
      <c r="H15" s="72"/>
      <c r="I15" s="73"/>
    </row>
    <row r="16" spans="1:26" x14ac:dyDescent="0.3">
      <c r="A16" s="74"/>
      <c r="B16" s="94"/>
      <c r="C16" s="75" t="str">
        <f>IFERROR(HLOOKUP($C$12,$N$123:$O$129,5,FALSE),"")</f>
        <v/>
      </c>
      <c r="D16" s="71"/>
      <c r="E16" s="71"/>
      <c r="F16" s="71"/>
      <c r="G16" s="71"/>
      <c r="H16" s="72"/>
      <c r="I16" s="73"/>
    </row>
    <row r="17" spans="1:10" x14ac:dyDescent="0.3">
      <c r="A17" s="74"/>
      <c r="B17" s="94"/>
      <c r="C17" s="75" t="str">
        <f>IFERROR(HLOOKUP($C$12,$N$123:$O$129,6,FALSE),"")</f>
        <v/>
      </c>
      <c r="D17" s="71"/>
      <c r="E17" s="71"/>
      <c r="F17" s="71"/>
      <c r="G17" s="71"/>
      <c r="H17" s="72"/>
      <c r="I17" s="73"/>
    </row>
    <row r="18" spans="1:10" x14ac:dyDescent="0.3">
      <c r="A18" s="76"/>
      <c r="B18" s="72"/>
      <c r="C18" s="75" t="str">
        <f>IFERROR(HLOOKUP($C$12,$N$123:$O$129,7,FALSE),"")</f>
        <v/>
      </c>
      <c r="D18" s="72"/>
      <c r="E18" s="72"/>
      <c r="F18" s="72"/>
      <c r="G18" s="72"/>
      <c r="H18" s="72"/>
      <c r="I18" s="73"/>
    </row>
    <row r="19" spans="1:10" x14ac:dyDescent="0.3">
      <c r="A19" s="4"/>
      <c r="B19" s="5"/>
      <c r="C19" s="5"/>
      <c r="D19" s="5"/>
      <c r="E19" s="5"/>
      <c r="F19" s="5"/>
      <c r="G19" s="5"/>
      <c r="H19" s="5"/>
      <c r="I19" s="6"/>
    </row>
    <row r="20" spans="1:10" x14ac:dyDescent="0.3">
      <c r="A20" s="11" t="s">
        <v>86</v>
      </c>
      <c r="B20" s="49"/>
      <c r="C20" s="5"/>
      <c r="D20" s="5"/>
      <c r="E20" s="5"/>
      <c r="F20" s="5"/>
      <c r="G20" s="5"/>
      <c r="H20" s="5"/>
      <c r="I20" s="6"/>
    </row>
    <row r="21" spans="1:10" x14ac:dyDescent="0.3">
      <c r="A21" s="7"/>
      <c r="B21" s="92" t="s">
        <v>25</v>
      </c>
      <c r="C21" s="12" t="str">
        <f>IFERROR(VLOOKUP($C$8,$O$102:$V$111,7,FALSE),"")</f>
        <v/>
      </c>
      <c r="D21" s="5" t="s">
        <v>7</v>
      </c>
      <c r="E21" s="5"/>
      <c r="F21" s="5"/>
      <c r="G21" s="5"/>
      <c r="H21" s="5"/>
      <c r="I21" s="6"/>
    </row>
    <row r="22" spans="1:10" x14ac:dyDescent="0.3">
      <c r="A22" s="7"/>
      <c r="B22" s="92" t="s">
        <v>54</v>
      </c>
      <c r="C22" s="12" t="str">
        <f>IFERROR(VLOOKUP($C$8,$O$102:$V$111,8,FALSE),"")</f>
        <v/>
      </c>
      <c r="D22" s="5" t="s">
        <v>7</v>
      </c>
      <c r="E22" s="5"/>
      <c r="F22" s="5"/>
      <c r="G22" s="5"/>
      <c r="H22" s="5"/>
      <c r="I22" s="6"/>
    </row>
    <row r="23" spans="1:10" x14ac:dyDescent="0.3">
      <c r="A23" s="7"/>
      <c r="B23" s="92"/>
      <c r="C23" s="13"/>
      <c r="D23" s="5"/>
      <c r="E23" s="5"/>
      <c r="F23" s="5"/>
      <c r="G23" s="5"/>
      <c r="H23" s="5"/>
      <c r="I23" s="6"/>
    </row>
    <row r="24" spans="1:10" x14ac:dyDescent="0.3">
      <c r="A24" s="11" t="s">
        <v>55</v>
      </c>
      <c r="B24" s="49"/>
      <c r="C24" s="5"/>
      <c r="D24" s="5"/>
      <c r="E24" s="5"/>
      <c r="F24" s="5"/>
      <c r="G24" s="5"/>
      <c r="H24" s="5"/>
      <c r="I24" s="6"/>
    </row>
    <row r="25" spans="1:10" ht="16.5" thickBot="1" x14ac:dyDescent="0.35">
      <c r="A25" s="77" t="s">
        <v>76</v>
      </c>
      <c r="B25" s="86"/>
      <c r="C25" s="72"/>
      <c r="D25" s="72"/>
      <c r="E25" s="72"/>
      <c r="F25" s="72"/>
      <c r="G25" s="72"/>
      <c r="H25" s="72"/>
      <c r="I25" s="73"/>
    </row>
    <row r="26" spans="1:10" ht="17.25" thickTop="1" thickBot="1" x14ac:dyDescent="0.35">
      <c r="A26" s="7"/>
      <c r="B26" s="92" t="s">
        <v>6</v>
      </c>
      <c r="C26" s="14" t="s">
        <v>7</v>
      </c>
      <c r="D26" s="5"/>
      <c r="E26" s="5"/>
      <c r="F26" s="5"/>
      <c r="G26" s="5"/>
      <c r="H26" s="5"/>
      <c r="I26" s="6"/>
    </row>
    <row r="27" spans="1:10" ht="17.25" thickTop="1" thickBot="1" x14ac:dyDescent="0.35">
      <c r="A27" s="4"/>
      <c r="B27" s="5"/>
      <c r="C27" s="5"/>
      <c r="D27" s="5"/>
      <c r="E27" s="5"/>
      <c r="F27" s="15" t="s">
        <v>29</v>
      </c>
      <c r="G27" s="5"/>
      <c r="H27" s="5"/>
      <c r="I27" s="6"/>
    </row>
    <row r="28" spans="1:10" ht="17.25" thickTop="1" thickBot="1" x14ac:dyDescent="0.35">
      <c r="A28" s="7"/>
      <c r="B28" s="92" t="s">
        <v>25</v>
      </c>
      <c r="C28" s="16"/>
      <c r="D28" s="5" t="str">
        <f>$C$26</f>
        <v>kW/Ton</v>
      </c>
      <c r="E28" s="5"/>
      <c r="F28" s="17" t="str">
        <f>IFERROR(VLOOKUP($C$26,$P$117:$V$119,4,FALSE),"")</f>
        <v/>
      </c>
      <c r="G28" s="18" t="str">
        <f>VLOOKUP($C$26,$P$117:$R$119,2,FALSE)</f>
        <v>EER</v>
      </c>
      <c r="H28" s="17" t="str">
        <f>IFERROR(VLOOKUP($C$26,$P$117:$V$119,6,FALSE),"")</f>
        <v/>
      </c>
      <c r="I28" s="19" t="str">
        <f>VLOOKUP($C$26,$P$117:$R$119,3,FALSE)</f>
        <v>COP</v>
      </c>
    </row>
    <row r="29" spans="1:10" ht="17.25" thickTop="1" thickBot="1" x14ac:dyDescent="0.35">
      <c r="A29" s="7"/>
      <c r="B29" s="92" t="s">
        <v>54</v>
      </c>
      <c r="C29" s="16"/>
      <c r="D29" s="5" t="str">
        <f>$C$26</f>
        <v>kW/Ton</v>
      </c>
      <c r="E29" s="5"/>
      <c r="F29" s="17" t="str">
        <f>IFERROR(VLOOKUP($C$26,$P$117:$V$119,5,FALSE),"")</f>
        <v/>
      </c>
      <c r="G29" s="18" t="str">
        <f>VLOOKUP($C$26,$P$117:$R$119,2,FALSE)</f>
        <v>EER</v>
      </c>
      <c r="H29" s="17" t="str">
        <f>IFERROR(VLOOKUP($C$26,$P$117:$V$119,7,FALSE),"")</f>
        <v/>
      </c>
      <c r="I29" s="19" t="str">
        <f>VLOOKUP($C$26,$P$117:$R$119,3,FALSE)</f>
        <v>COP</v>
      </c>
    </row>
    <row r="30" spans="1:10" ht="17.25" thickTop="1" thickBot="1" x14ac:dyDescent="0.35">
      <c r="A30" s="4"/>
      <c r="B30" s="5"/>
      <c r="C30" s="5"/>
      <c r="D30" s="5"/>
      <c r="E30" s="5"/>
      <c r="F30" s="5"/>
      <c r="G30" s="5"/>
      <c r="H30" s="5"/>
      <c r="I30" s="6"/>
    </row>
    <row r="31" spans="1:10" x14ac:dyDescent="0.3">
      <c r="A31" s="20" t="s">
        <v>93</v>
      </c>
      <c r="B31" s="95"/>
      <c r="C31" s="21"/>
      <c r="D31" s="21"/>
      <c r="E31" s="21"/>
      <c r="F31" s="21"/>
      <c r="G31" s="21"/>
      <c r="H31" s="21"/>
      <c r="I31" s="22"/>
    </row>
    <row r="32" spans="1:10" s="27" customFormat="1" ht="16.5" thickBot="1" x14ac:dyDescent="0.3">
      <c r="A32" s="23" t="s">
        <v>73</v>
      </c>
      <c r="B32" s="96"/>
      <c r="C32" s="24"/>
      <c r="D32" s="24"/>
      <c r="E32" s="24"/>
      <c r="F32" s="24"/>
      <c r="G32" s="24"/>
      <c r="H32" s="24"/>
      <c r="I32" s="25"/>
      <c r="J32" s="26"/>
    </row>
    <row r="33" spans="1:10" ht="17.25" thickTop="1" thickBot="1" x14ac:dyDescent="0.35">
      <c r="A33" s="28"/>
      <c r="B33" s="30" t="s">
        <v>57</v>
      </c>
      <c r="C33" s="143" t="s">
        <v>58</v>
      </c>
      <c r="D33" s="144"/>
      <c r="E33" s="29" t="s">
        <v>63</v>
      </c>
      <c r="F33" s="5"/>
      <c r="G33" s="5"/>
      <c r="H33" s="5"/>
      <c r="I33" s="6"/>
    </row>
    <row r="34" spans="1:10" ht="8.1" customHeight="1" thickTop="1" x14ac:dyDescent="0.3">
      <c r="A34" s="28"/>
      <c r="B34" s="30"/>
      <c r="C34" s="30"/>
      <c r="D34" s="30"/>
      <c r="E34" s="5"/>
      <c r="F34" s="5"/>
      <c r="G34" s="5"/>
      <c r="H34" s="5"/>
      <c r="I34" s="6"/>
    </row>
    <row r="35" spans="1:10" ht="30.75" customHeight="1" thickBot="1" x14ac:dyDescent="0.35">
      <c r="A35" s="31"/>
      <c r="B35" s="32" t="s">
        <v>0</v>
      </c>
      <c r="C35" s="32" t="str">
        <f>IF($C$33&gt;0,VLOOKUP($C$33,$N$133:$P$135,2,FALSE),"")</f>
        <v>Tons</v>
      </c>
      <c r="D35" s="32" t="str">
        <f>IF($C$33&gt;0,VLOOKUP($C$33,$N$133:$P$135,3,FALSE),"")</f>
        <v>Total kW</v>
      </c>
      <c r="E35" s="5"/>
      <c r="F35" s="33" t="s">
        <v>4</v>
      </c>
      <c r="G35" s="32" t="s">
        <v>1</v>
      </c>
      <c r="H35" s="34" t="s">
        <v>62</v>
      </c>
      <c r="I35" s="6"/>
      <c r="J35" s="1"/>
    </row>
    <row r="36" spans="1:10" ht="17.25" thickTop="1" thickBot="1" x14ac:dyDescent="0.35">
      <c r="A36" s="35"/>
      <c r="B36" s="97">
        <v>1</v>
      </c>
      <c r="C36" s="36"/>
      <c r="D36" s="37"/>
      <c r="E36" s="5"/>
      <c r="F36" s="38" t="str">
        <f>IF($C36&gt;0,IF($C$33=$N$133, $D36/$C36,IF($C$33=$N$134,$C36, IF($C$33=$N$135,12/$C36,""))),"")</f>
        <v/>
      </c>
      <c r="G36" s="39" t="str">
        <f>IF(F36&lt;&gt;"",12/F36,"")</f>
        <v/>
      </c>
      <c r="H36" s="40">
        <v>0.01</v>
      </c>
      <c r="I36" s="6"/>
      <c r="J36" s="1"/>
    </row>
    <row r="37" spans="1:10" ht="17.25" thickTop="1" thickBot="1" x14ac:dyDescent="0.35">
      <c r="A37" s="35"/>
      <c r="B37" s="97">
        <v>0.75</v>
      </c>
      <c r="C37" s="36"/>
      <c r="D37" s="37"/>
      <c r="E37" s="5"/>
      <c r="F37" s="38" t="str">
        <f>IF($C37&gt;0,IF($C$33=$N$133, $D37/$C37,IF($C$33=$N$134,$C37, IF($C$33=$N$135,12/$C37,""))),"")</f>
        <v/>
      </c>
      <c r="G37" s="39" t="str">
        <f>IF(F37&lt;&gt;"",12/F37,"")</f>
        <v/>
      </c>
      <c r="H37" s="40">
        <v>0.42</v>
      </c>
      <c r="I37" s="6"/>
      <c r="J37" s="1"/>
    </row>
    <row r="38" spans="1:10" ht="17.25" thickTop="1" thickBot="1" x14ac:dyDescent="0.35">
      <c r="A38" s="35"/>
      <c r="B38" s="97">
        <v>0.5</v>
      </c>
      <c r="C38" s="36"/>
      <c r="D38" s="37"/>
      <c r="E38" s="5"/>
      <c r="F38" s="38" t="str">
        <f>IF($C38&gt;0,IF($C$33=$N$133, $D38/$C38,IF($C$33=$N$134,$C38, IF($C$33=$N$135,12/$C38,""))),"")</f>
        <v/>
      </c>
      <c r="G38" s="39" t="str">
        <f>IF(F38&lt;&gt;"",12/F38,"")</f>
        <v/>
      </c>
      <c r="H38" s="40">
        <v>0.45</v>
      </c>
      <c r="I38" s="6"/>
      <c r="J38" s="1"/>
    </row>
    <row r="39" spans="1:10" ht="17.25" thickTop="1" thickBot="1" x14ac:dyDescent="0.35">
      <c r="A39" s="35"/>
      <c r="B39" s="97">
        <v>0.25</v>
      </c>
      <c r="C39" s="36"/>
      <c r="D39" s="37"/>
      <c r="E39" s="5"/>
      <c r="F39" s="38" t="str">
        <f>IF($C39&gt;0,IF($C$33=$N$133, $D39/$C39,IF($C$33=$N$134,$C39, IF($C$33=$N$135,12/$C39,""))),"")</f>
        <v/>
      </c>
      <c r="G39" s="39" t="str">
        <f>IF(F39&lt;&gt;"",12/F39,"")</f>
        <v/>
      </c>
      <c r="H39" s="40">
        <v>0.12</v>
      </c>
      <c r="I39" s="6"/>
      <c r="J39" s="1"/>
    </row>
    <row r="40" spans="1:10" ht="16.5" thickTop="1" x14ac:dyDescent="0.3">
      <c r="A40" s="4"/>
      <c r="B40" s="5"/>
      <c r="C40" s="5"/>
      <c r="D40" s="5"/>
      <c r="E40" s="5"/>
      <c r="F40" s="41"/>
      <c r="G40" s="42"/>
      <c r="H40" s="5"/>
      <c r="I40" s="6"/>
      <c r="J40" s="1"/>
    </row>
    <row r="41" spans="1:10" x14ac:dyDescent="0.3">
      <c r="A41" s="4"/>
      <c r="B41" s="5"/>
      <c r="C41" s="80" t="s">
        <v>87</v>
      </c>
      <c r="D41" s="5"/>
      <c r="E41" s="50" t="s">
        <v>56</v>
      </c>
      <c r="F41" s="43" t="str">
        <f>IF(SUMPRODUCT(G36:G39,H36:H39)&gt;0,12/SUMPRODUCT(G36:G39,H36:H39),"")</f>
        <v/>
      </c>
      <c r="G41" s="44" t="str">
        <f>IF(SUMPRODUCT(G36:G39,H36:H39)&gt;0,SUMPRODUCT(G36:G39,H36:H39),"")</f>
        <v/>
      </c>
      <c r="H41" s="5"/>
      <c r="I41" s="6"/>
      <c r="J41" s="1"/>
    </row>
    <row r="42" spans="1:10" ht="16.5" thickBot="1" x14ac:dyDescent="0.35">
      <c r="A42" s="45"/>
      <c r="B42" s="46"/>
      <c r="C42" s="46"/>
      <c r="D42" s="46"/>
      <c r="E42" s="46"/>
      <c r="F42" s="46"/>
      <c r="G42" s="46"/>
      <c r="H42" s="46"/>
      <c r="I42" s="47"/>
      <c r="J42" s="1"/>
    </row>
    <row r="43" spans="1:10" x14ac:dyDescent="0.3">
      <c r="A43" s="5"/>
      <c r="B43" s="5"/>
      <c r="C43" s="5"/>
      <c r="D43" s="5"/>
      <c r="E43" s="5"/>
      <c r="F43" s="5"/>
      <c r="G43" s="5"/>
      <c r="H43" s="5"/>
      <c r="I43" s="5"/>
      <c r="J43" s="1"/>
    </row>
    <row r="44" spans="1:10" ht="16.5" thickBot="1" x14ac:dyDescent="0.35">
      <c r="J44" s="1"/>
    </row>
    <row r="45" spans="1:10" ht="16.5" x14ac:dyDescent="0.3">
      <c r="A45" s="130" t="s">
        <v>72</v>
      </c>
      <c r="B45" s="131"/>
      <c r="C45" s="131"/>
      <c r="D45" s="131"/>
      <c r="E45" s="131"/>
      <c r="F45" s="131"/>
      <c r="G45" s="131"/>
      <c r="H45" s="131"/>
      <c r="I45" s="132"/>
      <c r="J45" s="1"/>
    </row>
    <row r="46" spans="1:10" x14ac:dyDescent="0.3">
      <c r="A46" s="4"/>
      <c r="B46" s="5"/>
      <c r="C46" s="5"/>
      <c r="D46" s="5"/>
      <c r="E46" s="5"/>
      <c r="F46" s="5"/>
      <c r="G46" s="5"/>
      <c r="H46" s="5"/>
      <c r="I46" s="6"/>
      <c r="J46" s="1"/>
    </row>
    <row r="47" spans="1:10" x14ac:dyDescent="0.3">
      <c r="A47" s="48"/>
      <c r="B47" s="98" t="s">
        <v>28</v>
      </c>
      <c r="C47" s="49" t="str">
        <f>IF(C8&lt;&gt;"",C8,"")</f>
        <v/>
      </c>
      <c r="D47" s="5"/>
      <c r="E47" s="5"/>
      <c r="F47" s="5"/>
      <c r="G47" s="5"/>
      <c r="H47" s="5"/>
      <c r="I47" s="6"/>
      <c r="J47" s="1"/>
    </row>
    <row r="48" spans="1:10" x14ac:dyDescent="0.3">
      <c r="A48" s="4"/>
      <c r="B48" s="5"/>
      <c r="C48" s="5"/>
      <c r="D48" s="5"/>
      <c r="E48" s="5"/>
      <c r="F48" s="5"/>
      <c r="G48" s="5"/>
      <c r="H48" s="5"/>
      <c r="I48" s="6"/>
      <c r="J48" s="1"/>
    </row>
    <row r="49" spans="1:11" x14ac:dyDescent="0.3">
      <c r="A49" s="4"/>
      <c r="B49" s="5"/>
      <c r="C49" s="50" t="s">
        <v>125</v>
      </c>
      <c r="D49" s="142" t="s">
        <v>65</v>
      </c>
      <c r="E49" s="142"/>
      <c r="F49" s="5"/>
      <c r="G49" s="5"/>
      <c r="H49" s="5"/>
      <c r="I49" s="6"/>
      <c r="J49" s="1"/>
    </row>
    <row r="50" spans="1:11" ht="16.5" x14ac:dyDescent="0.3">
      <c r="A50" s="51"/>
      <c r="B50" s="99" t="s">
        <v>25</v>
      </c>
      <c r="C50" s="52" t="str">
        <f>C21</f>
        <v/>
      </c>
      <c r="D50" s="145">
        <f>IF(D28="kW/Ton",C28,IF(G28="kW/Ton",F28,IF(I28="kW/Ton",H28,"")))</f>
        <v>0</v>
      </c>
      <c r="E50" s="145"/>
      <c r="F50" s="78" t="str">
        <f>IF(C50="", "Must select a chiller type first!",IF(D50&gt;0,IF(D50&lt;=C50,"Qualifies", "Does not qualify"),""))</f>
        <v>Must select a chiller type first!</v>
      </c>
      <c r="G50" s="5"/>
      <c r="H50" s="5"/>
      <c r="I50" s="6"/>
      <c r="J50" s="1"/>
    </row>
    <row r="51" spans="1:11" ht="16.5" x14ac:dyDescent="0.3">
      <c r="A51" s="7"/>
      <c r="B51" s="92" t="s">
        <v>54</v>
      </c>
      <c r="C51" s="52" t="str">
        <f>C22</f>
        <v/>
      </c>
      <c r="D51" s="145">
        <f>IF(D29="kW/Ton",C29,IF(G29="kW/Ton",F29,IF(I29="kW/Ton",H29,"")))</f>
        <v>0</v>
      </c>
      <c r="E51" s="145"/>
      <c r="F51" s="78" t="str">
        <f>IF(C51="", "Must select a chiller type first!",IF(D51&gt;0,IF(D51&lt;=C51,"Qualifies", "Does not qualify"),""))</f>
        <v>Must select a chiller type first!</v>
      </c>
      <c r="G51" s="5"/>
      <c r="H51" s="5"/>
      <c r="I51" s="6"/>
      <c r="K51" s="113"/>
    </row>
    <row r="52" spans="1:11" x14ac:dyDescent="0.3">
      <c r="A52" s="4"/>
      <c r="B52" s="5"/>
      <c r="C52" s="5"/>
      <c r="D52" s="5"/>
      <c r="E52" s="5"/>
      <c r="F52" s="53" t="str">
        <f>IF(F50="Must select a chiller type first!","Blank",IF(AND(F50="Qualifies",F51="Qualifies"),"Both", IF(ROUND(C55,2)=0,"Negative",   IF(F50="Qualifies","Full",IF(F51="Qualifies", "Part", "Neither")))))</f>
        <v>Blank</v>
      </c>
      <c r="G52" s="5"/>
      <c r="H52" s="5"/>
      <c r="I52" s="6"/>
    </row>
    <row r="53" spans="1:11" ht="16.5" x14ac:dyDescent="0.3">
      <c r="A53" s="54"/>
      <c r="B53" s="100" t="s">
        <v>78</v>
      </c>
      <c r="C53" s="79" t="str">
        <f>VLOOKUP(F52,N138:O143,2,FALSE)</f>
        <v>Error - No Chiller Type Selected</v>
      </c>
      <c r="D53" s="5"/>
      <c r="E53" s="5"/>
      <c r="F53" s="5"/>
      <c r="G53" s="5"/>
      <c r="H53" s="5"/>
      <c r="I53" s="6"/>
    </row>
    <row r="54" spans="1:11" x14ac:dyDescent="0.3">
      <c r="A54" s="4"/>
      <c r="B54" s="5"/>
      <c r="C54" s="5"/>
      <c r="D54" s="5"/>
      <c r="E54" s="137" t="str">
        <f>IF(AND(LEFT(C53,3)="YES",C57&gt;0),$N$146,"")</f>
        <v/>
      </c>
      <c r="F54" s="137"/>
      <c r="G54" s="137"/>
      <c r="H54" s="137"/>
      <c r="I54" s="138"/>
    </row>
    <row r="55" spans="1:11" ht="15.75" customHeight="1" x14ac:dyDescent="0.3">
      <c r="A55" s="48"/>
      <c r="B55" s="98" t="s">
        <v>74</v>
      </c>
      <c r="C55" s="81">
        <f>IFERROR(IF(AND(D50&gt;0,D51&gt;0),  MAX(((C50-D50)+(C51-D51))*VLOOKUP(1,$R$102:$X$111,6,FALSE)+VLOOKUP(1,$R$102:$X$111,7,FALSE),0),0),"")</f>
        <v>0</v>
      </c>
      <c r="D55" s="49"/>
      <c r="E55" s="137"/>
      <c r="F55" s="137"/>
      <c r="G55" s="137"/>
      <c r="H55" s="137"/>
      <c r="I55" s="138"/>
      <c r="K55" s="115"/>
    </row>
    <row r="56" spans="1:11" ht="16.5" thickBot="1" x14ac:dyDescent="0.35">
      <c r="A56" s="48"/>
      <c r="B56" s="98" t="s">
        <v>75</v>
      </c>
      <c r="C56" s="82">
        <f>C9</f>
        <v>0</v>
      </c>
      <c r="D56" s="49"/>
      <c r="E56" s="137"/>
      <c r="F56" s="137"/>
      <c r="G56" s="137"/>
      <c r="H56" s="137"/>
      <c r="I56" s="138"/>
    </row>
    <row r="57" spans="1:11" ht="16.5" thickBot="1" x14ac:dyDescent="0.35">
      <c r="A57" s="48"/>
      <c r="B57" s="98" t="s">
        <v>5</v>
      </c>
      <c r="C57" s="83">
        <f>IF(AND(C55&lt;&gt;"",C55&gt;0,C56&gt;0),C55*C56,0)</f>
        <v>0</v>
      </c>
      <c r="D57" s="49"/>
      <c r="E57" s="137"/>
      <c r="F57" s="137"/>
      <c r="G57" s="137"/>
      <c r="H57" s="137"/>
      <c r="I57" s="138"/>
    </row>
    <row r="58" spans="1:11" x14ac:dyDescent="0.3">
      <c r="A58" s="48"/>
      <c r="B58" s="98"/>
      <c r="C58" s="98"/>
      <c r="D58" s="49"/>
      <c r="E58" s="137"/>
      <c r="F58" s="137"/>
      <c r="G58" s="137"/>
      <c r="H58" s="137"/>
      <c r="I58" s="138"/>
    </row>
    <row r="59" spans="1:11" ht="16.5" thickBot="1" x14ac:dyDescent="0.35">
      <c r="A59" s="45"/>
      <c r="B59" s="46"/>
      <c r="C59" s="46"/>
      <c r="D59" s="46"/>
      <c r="E59" s="46"/>
      <c r="F59" s="46"/>
      <c r="G59" s="46"/>
      <c r="H59" s="46"/>
      <c r="I59" s="47"/>
    </row>
    <row r="60" spans="1:11" x14ac:dyDescent="0.3">
      <c r="A60" s="5"/>
      <c r="B60" s="5"/>
      <c r="C60" s="5"/>
      <c r="D60" s="5"/>
      <c r="E60" s="5"/>
      <c r="F60" s="5"/>
      <c r="G60" s="5"/>
      <c r="H60" s="5"/>
      <c r="I60" s="5"/>
    </row>
    <row r="62" spans="1:11" ht="16.5" x14ac:dyDescent="0.3">
      <c r="A62" s="3" t="s">
        <v>100</v>
      </c>
      <c r="B62" s="3"/>
      <c r="J62" s="140" t="s">
        <v>111</v>
      </c>
      <c r="K62" s="140"/>
    </row>
    <row r="63" spans="1:11" x14ac:dyDescent="0.3">
      <c r="A63" s="89" t="s">
        <v>103</v>
      </c>
      <c r="B63" s="89"/>
      <c r="J63" s="141" t="str">
        <f>IFERROR(IF($C$10="Multifamily","M-","") &amp;  VLOOKUP($C$8,$O$102:$Y$111,11,FALSE),"")</f>
        <v/>
      </c>
      <c r="K63" s="141"/>
    </row>
    <row r="64" spans="1:11" hidden="1" x14ac:dyDescent="0.3">
      <c r="A64" s="90" t="s">
        <v>101</v>
      </c>
      <c r="B64" s="90"/>
      <c r="C64" s="118" t="s">
        <v>102</v>
      </c>
      <c r="D64" s="118"/>
      <c r="E64" s="118"/>
      <c r="F64" s="118"/>
      <c r="G64" s="118"/>
      <c r="H64" s="118"/>
      <c r="I64" s="118"/>
      <c r="J64" s="118"/>
      <c r="K64" s="118"/>
    </row>
    <row r="65" spans="1:12" hidden="1" x14ac:dyDescent="0.3">
      <c r="A65" s="91"/>
      <c r="B65" s="91"/>
      <c r="C65" s="119" t="s">
        <v>104</v>
      </c>
      <c r="D65" s="119"/>
      <c r="E65" s="119"/>
      <c r="F65" s="119"/>
      <c r="G65" s="119"/>
      <c r="H65" s="119"/>
      <c r="I65" s="119"/>
      <c r="J65" s="119"/>
      <c r="K65" s="119"/>
    </row>
    <row r="66" spans="1:12" ht="32.1" hidden="1" customHeight="1" x14ac:dyDescent="0.3">
      <c r="A66" s="135" t="s">
        <v>95</v>
      </c>
      <c r="B66" s="135"/>
      <c r="C66" s="135" t="s">
        <v>96</v>
      </c>
      <c r="D66" s="135"/>
      <c r="E66" s="135"/>
      <c r="F66" s="133" t="s">
        <v>97</v>
      </c>
      <c r="G66" s="133"/>
      <c r="H66" s="135" t="s">
        <v>99</v>
      </c>
      <c r="I66" s="135"/>
      <c r="J66" s="120" t="s">
        <v>98</v>
      </c>
      <c r="K66" s="120"/>
    </row>
    <row r="67" spans="1:12" ht="32.1" hidden="1" customHeight="1" x14ac:dyDescent="0.3">
      <c r="A67" s="116">
        <v>1</v>
      </c>
      <c r="B67" s="117"/>
      <c r="C67" s="116"/>
      <c r="D67" s="136"/>
      <c r="E67" s="117"/>
      <c r="F67" s="134"/>
      <c r="G67" s="134"/>
      <c r="H67" s="116"/>
      <c r="I67" s="117"/>
      <c r="J67" s="121"/>
      <c r="K67" s="121"/>
    </row>
    <row r="69" spans="1:12" x14ac:dyDescent="0.3">
      <c r="A69" s="88" t="s">
        <v>105</v>
      </c>
      <c r="B69" s="88"/>
      <c r="C69" s="139" t="s">
        <v>102</v>
      </c>
      <c r="D69" s="139"/>
      <c r="E69" s="139"/>
      <c r="F69" s="139"/>
      <c r="G69" s="139"/>
      <c r="H69" s="139"/>
      <c r="I69" s="139"/>
      <c r="J69" s="139"/>
      <c r="K69" s="139"/>
    </row>
    <row r="70" spans="1:12" s="87" customFormat="1" x14ac:dyDescent="0.3">
      <c r="A70" s="91"/>
      <c r="B70" s="91"/>
      <c r="C70" s="119" t="s">
        <v>104</v>
      </c>
      <c r="D70" s="119"/>
      <c r="E70" s="119"/>
      <c r="F70" s="119"/>
      <c r="G70" s="119"/>
      <c r="H70" s="119"/>
      <c r="I70" s="119"/>
      <c r="J70" s="119"/>
      <c r="K70" s="119"/>
      <c r="L70" s="1"/>
    </row>
    <row r="71" spans="1:12" ht="80.099999999999994" customHeight="1" x14ac:dyDescent="0.3">
      <c r="A71" s="101" t="s">
        <v>95</v>
      </c>
      <c r="B71" s="102" t="s">
        <v>106</v>
      </c>
      <c r="C71" s="102" t="s">
        <v>129</v>
      </c>
      <c r="D71" s="102" t="s">
        <v>107</v>
      </c>
      <c r="E71" s="102" t="s">
        <v>127</v>
      </c>
      <c r="F71" s="102" t="s">
        <v>108</v>
      </c>
      <c r="G71" s="102" t="s">
        <v>128</v>
      </c>
      <c r="H71" s="102" t="s">
        <v>130</v>
      </c>
      <c r="I71" s="102" t="s">
        <v>109</v>
      </c>
      <c r="J71" s="102" t="s">
        <v>131</v>
      </c>
      <c r="K71" s="102" t="s">
        <v>132</v>
      </c>
    </row>
    <row r="72" spans="1:12" ht="32.1" customHeight="1" x14ac:dyDescent="0.3">
      <c r="A72" s="103">
        <v>1</v>
      </c>
      <c r="B72" s="104" t="str">
        <f>IF(C9="","",C9)</f>
        <v/>
      </c>
      <c r="C72" s="105" t="str">
        <f>IF(OR(C8="", ISNA(C8)),"",C21)</f>
        <v/>
      </c>
      <c r="D72" s="106">
        <f>IFERROR(D50,"")</f>
        <v>0</v>
      </c>
      <c r="E72" s="105" t="str">
        <f>IFERROR(C22,"")</f>
        <v/>
      </c>
      <c r="F72" s="106">
        <f>IFERROR(D51,"")</f>
        <v>0</v>
      </c>
      <c r="G72" s="105" t="str">
        <f>IFERROR((C72-D72)+(E72-F72),"")</f>
        <v/>
      </c>
      <c r="H72" s="110" t="str">
        <f>IFERROR(G72*250,"")</f>
        <v/>
      </c>
      <c r="I72" s="110" t="str">
        <f>IFERROR(VLOOKUP(1,$R$102:$X$111,7,FALSE),"")</f>
        <v/>
      </c>
      <c r="J72" s="108">
        <f>IFERROR(C55,"")</f>
        <v>0</v>
      </c>
      <c r="K72" s="110">
        <f>IFERROR(C57,"")</f>
        <v>0</v>
      </c>
    </row>
    <row r="73" spans="1:12" x14ac:dyDescent="0.3">
      <c r="A73" s="107" t="s">
        <v>110</v>
      </c>
      <c r="J73" s="109"/>
    </row>
    <row r="99" spans="15:25" x14ac:dyDescent="0.3">
      <c r="S99" s="127" t="s">
        <v>89</v>
      </c>
      <c r="T99" s="127"/>
      <c r="U99" s="128" t="s">
        <v>91</v>
      </c>
      <c r="V99" s="128"/>
      <c r="W99" s="129" t="s">
        <v>90</v>
      </c>
      <c r="X99" s="129"/>
    </row>
    <row r="100" spans="15:25" x14ac:dyDescent="0.3">
      <c r="S100" s="127"/>
      <c r="T100" s="127"/>
      <c r="U100" s="128"/>
      <c r="V100" s="128"/>
      <c r="W100" s="129"/>
      <c r="X100" s="129"/>
    </row>
    <row r="101" spans="15:25" ht="39" x14ac:dyDescent="0.3">
      <c r="O101" s="111" t="s">
        <v>11</v>
      </c>
      <c r="P101" s="111" t="s">
        <v>18</v>
      </c>
      <c r="Q101" s="111" t="s">
        <v>19</v>
      </c>
      <c r="R101" s="112" t="s">
        <v>20</v>
      </c>
      <c r="S101" s="111" t="s">
        <v>21</v>
      </c>
      <c r="T101" s="111" t="s">
        <v>22</v>
      </c>
      <c r="U101" s="111" t="s">
        <v>21</v>
      </c>
      <c r="V101" s="111" t="s">
        <v>22</v>
      </c>
      <c r="W101" s="111" t="s">
        <v>23</v>
      </c>
      <c r="X101" s="111" t="s">
        <v>24</v>
      </c>
      <c r="Y101" s="111" t="s">
        <v>111</v>
      </c>
    </row>
    <row r="102" spans="15:25" x14ac:dyDescent="0.3">
      <c r="O102" s="55" t="s">
        <v>10</v>
      </c>
      <c r="P102" s="56">
        <v>0</v>
      </c>
      <c r="Q102" s="57">
        <v>149.9</v>
      </c>
      <c r="R102" s="57">
        <f>IF(AND($C$8=O102,$C$9&gt;=P102,$C$9&lt;Q102),1,0)</f>
        <v>0</v>
      </c>
      <c r="S102" s="58">
        <f>12/(2.8*3.412)</f>
        <v>1.2560710098810921</v>
      </c>
      <c r="T102" s="58">
        <f>12/(3.05*3.412)</f>
        <v>1.1531143697269042</v>
      </c>
      <c r="U102" s="58">
        <v>1.2</v>
      </c>
      <c r="V102" s="58">
        <v>0.9</v>
      </c>
      <c r="W102" s="59">
        <v>250</v>
      </c>
      <c r="X102" s="59">
        <v>12</v>
      </c>
      <c r="Y102" s="56" t="s">
        <v>112</v>
      </c>
    </row>
    <row r="103" spans="15:25" x14ac:dyDescent="0.3">
      <c r="O103" s="55" t="s">
        <v>53</v>
      </c>
      <c r="P103" s="56">
        <v>150</v>
      </c>
      <c r="Q103" s="57">
        <v>1000000</v>
      </c>
      <c r="R103" s="57">
        <f t="shared" ref="R103:R111" si="0">IF(AND($C$8=O103,$C$9&gt;=P103,$C$9&lt;Q103),1,0)</f>
        <v>0</v>
      </c>
      <c r="S103" s="58">
        <f>12/(2.8*3.412)</f>
        <v>1.2560710098810921</v>
      </c>
      <c r="T103" s="58">
        <f>12/(3.05*3.412)</f>
        <v>1.1531143697269042</v>
      </c>
      <c r="U103" s="58">
        <v>1.2</v>
      </c>
      <c r="V103" s="58">
        <v>0.9</v>
      </c>
      <c r="W103" s="59">
        <v>250</v>
      </c>
      <c r="X103" s="59">
        <v>10</v>
      </c>
      <c r="Y103" s="56" t="s">
        <v>112</v>
      </c>
    </row>
    <row r="104" spans="15:25" x14ac:dyDescent="0.3">
      <c r="O104" s="55" t="s">
        <v>12</v>
      </c>
      <c r="P104" s="56">
        <v>0</v>
      </c>
      <c r="Q104" s="57">
        <v>74.900000000000006</v>
      </c>
      <c r="R104" s="57">
        <f t="shared" si="0"/>
        <v>0</v>
      </c>
      <c r="S104" s="58">
        <f>12/(4.45*3.412)</f>
        <v>0.79033681520608023</v>
      </c>
      <c r="T104" s="58">
        <f>12/(5.2*3.412)</f>
        <v>0.67634592839751106</v>
      </c>
      <c r="U104" s="58">
        <v>0.74</v>
      </c>
      <c r="V104" s="58">
        <v>0.57999999999999996</v>
      </c>
      <c r="W104" s="59">
        <v>250</v>
      </c>
      <c r="X104" s="59">
        <v>10</v>
      </c>
      <c r="Y104" s="56" t="s">
        <v>113</v>
      </c>
    </row>
    <row r="105" spans="15:25" x14ac:dyDescent="0.3">
      <c r="O105" s="55" t="s">
        <v>13</v>
      </c>
      <c r="P105" s="56">
        <v>75</v>
      </c>
      <c r="Q105" s="57">
        <v>149.9</v>
      </c>
      <c r="R105" s="57">
        <f t="shared" si="0"/>
        <v>0</v>
      </c>
      <c r="S105" s="58">
        <f>12/(4.45*3.412)</f>
        <v>0.79033681520608023</v>
      </c>
      <c r="T105" s="58">
        <f>12/(5.2*3.412)</f>
        <v>0.67634592839751106</v>
      </c>
      <c r="U105" s="58">
        <v>0.74</v>
      </c>
      <c r="V105" s="58">
        <v>0.57999999999999996</v>
      </c>
      <c r="W105" s="59">
        <v>250</v>
      </c>
      <c r="X105" s="59">
        <v>10</v>
      </c>
      <c r="Y105" s="56" t="s">
        <v>113</v>
      </c>
    </row>
    <row r="106" spans="15:25" x14ac:dyDescent="0.3">
      <c r="O106" s="55" t="s">
        <v>14</v>
      </c>
      <c r="P106" s="56">
        <v>150</v>
      </c>
      <c r="Q106" s="57">
        <v>299.89999999999998</v>
      </c>
      <c r="R106" s="57">
        <f t="shared" si="0"/>
        <v>0</v>
      </c>
      <c r="S106" s="58">
        <f>12/(4.9*3.412)</f>
        <v>0.71775486278919531</v>
      </c>
      <c r="T106" s="58">
        <f>12/(5.6*3.412)</f>
        <v>0.62803550494054605</v>
      </c>
      <c r="U106" s="58">
        <v>0.67</v>
      </c>
      <c r="V106" s="58">
        <v>0.53</v>
      </c>
      <c r="W106" s="59">
        <v>250</v>
      </c>
      <c r="X106" s="59">
        <v>10</v>
      </c>
      <c r="Y106" s="56" t="s">
        <v>114</v>
      </c>
    </row>
    <row r="107" spans="15:25" x14ac:dyDescent="0.3">
      <c r="O107" s="55" t="s">
        <v>15</v>
      </c>
      <c r="P107" s="56">
        <v>300</v>
      </c>
      <c r="Q107" s="57">
        <v>1000000</v>
      </c>
      <c r="R107" s="57">
        <f t="shared" si="0"/>
        <v>0</v>
      </c>
      <c r="S107" s="58">
        <f>12/(5.5*3.412)</f>
        <v>0.63945433230310145</v>
      </c>
      <c r="T107" s="58">
        <f>12/(6.15*3.412)</f>
        <v>0.57186972807594427</v>
      </c>
      <c r="U107" s="58">
        <v>0.59</v>
      </c>
      <c r="V107" s="58">
        <v>0.47</v>
      </c>
      <c r="W107" s="59">
        <v>250</v>
      </c>
      <c r="X107" s="59">
        <v>10</v>
      </c>
      <c r="Y107" s="56" t="s">
        <v>115</v>
      </c>
    </row>
    <row r="108" spans="15:25" x14ac:dyDescent="0.3">
      <c r="O108" s="55" t="s">
        <v>84</v>
      </c>
      <c r="P108" s="56">
        <v>0</v>
      </c>
      <c r="Q108" s="57">
        <v>149.9</v>
      </c>
      <c r="R108" s="57">
        <f t="shared" ref="R108" si="1">IF(AND($C$8=O108,$C$9&gt;=P108,$C$9&lt;Q108),1,0)</f>
        <v>0</v>
      </c>
      <c r="S108" s="58">
        <f>12/(5*3.412)</f>
        <v>0.70339976553341155</v>
      </c>
      <c r="T108" s="58">
        <f>12/(5.25*3.412)</f>
        <v>0.66990453860324906</v>
      </c>
      <c r="U108" s="60">
        <v>0.65</v>
      </c>
      <c r="V108" s="60">
        <v>0.56999999999999995</v>
      </c>
      <c r="W108" s="59">
        <v>250</v>
      </c>
      <c r="X108" s="59">
        <v>10</v>
      </c>
      <c r="Y108" s="56" t="s">
        <v>113</v>
      </c>
    </row>
    <row r="109" spans="15:25" x14ac:dyDescent="0.3">
      <c r="O109" s="55" t="s">
        <v>85</v>
      </c>
      <c r="P109" s="56">
        <v>150</v>
      </c>
      <c r="Q109" s="57">
        <v>299.89999999999998</v>
      </c>
      <c r="R109" s="57">
        <f t="shared" si="0"/>
        <v>0</v>
      </c>
      <c r="S109" s="58">
        <f>12/(5.55*3.412)</f>
        <v>0.63369348246253288</v>
      </c>
      <c r="T109" s="58">
        <f>12/(5.9*3.412)</f>
        <v>0.5961014962147555</v>
      </c>
      <c r="U109" s="60">
        <v>0.57999999999999996</v>
      </c>
      <c r="V109" s="60">
        <v>0.5</v>
      </c>
      <c r="W109" s="59">
        <v>250</v>
      </c>
      <c r="X109" s="59">
        <v>10</v>
      </c>
      <c r="Y109" s="56" t="s">
        <v>113</v>
      </c>
    </row>
    <row r="110" spans="15:25" x14ac:dyDescent="0.3">
      <c r="O110" s="55" t="s">
        <v>16</v>
      </c>
      <c r="P110" s="56">
        <v>300</v>
      </c>
      <c r="Q110" s="57">
        <v>599.9</v>
      </c>
      <c r="R110" s="57">
        <f t="shared" si="0"/>
        <v>0</v>
      </c>
      <c r="S110" s="58">
        <f>12/(6.1*3.412)</f>
        <v>0.57655718486345209</v>
      </c>
      <c r="T110" s="58">
        <f>12/(6.4*3.412)</f>
        <v>0.5495310668229777</v>
      </c>
      <c r="U110" s="60">
        <v>0.53</v>
      </c>
      <c r="V110" s="60">
        <v>0.45</v>
      </c>
      <c r="W110" s="59">
        <v>250</v>
      </c>
      <c r="X110" s="59">
        <v>10</v>
      </c>
      <c r="Y110" s="56" t="s">
        <v>114</v>
      </c>
    </row>
    <row r="111" spans="15:25" x14ac:dyDescent="0.3">
      <c r="O111" s="55" t="s">
        <v>17</v>
      </c>
      <c r="P111" s="56">
        <v>600</v>
      </c>
      <c r="Q111" s="57">
        <v>1000000</v>
      </c>
      <c r="R111" s="57">
        <f t="shared" si="0"/>
        <v>0</v>
      </c>
      <c r="S111" s="58">
        <f>12/(6.1*3.412)</f>
        <v>0.57655718486345209</v>
      </c>
      <c r="T111" s="58">
        <f>12/(6.4*3.412)</f>
        <v>0.5495310668229777</v>
      </c>
      <c r="U111" s="60">
        <v>0.53</v>
      </c>
      <c r="V111" s="60">
        <v>0.45</v>
      </c>
      <c r="W111" s="59">
        <v>250</v>
      </c>
      <c r="X111" s="59">
        <v>10</v>
      </c>
      <c r="Y111" s="56" t="s">
        <v>115</v>
      </c>
    </row>
    <row r="114" spans="14:24" x14ac:dyDescent="0.3">
      <c r="O114" s="61" t="s">
        <v>36</v>
      </c>
      <c r="P114" s="146" t="s">
        <v>8</v>
      </c>
      <c r="Q114" s="146" t="s">
        <v>30</v>
      </c>
      <c r="R114" s="146" t="s">
        <v>31</v>
      </c>
      <c r="S114" s="146" t="s">
        <v>32</v>
      </c>
      <c r="T114" s="146" t="s">
        <v>33</v>
      </c>
      <c r="U114" s="146" t="s">
        <v>35</v>
      </c>
      <c r="V114" s="146" t="s">
        <v>34</v>
      </c>
      <c r="W114" s="146" t="s">
        <v>26</v>
      </c>
      <c r="X114" s="146" t="s">
        <v>27</v>
      </c>
    </row>
    <row r="115" spans="14:24" x14ac:dyDescent="0.3">
      <c r="O115" s="61" t="s">
        <v>37</v>
      </c>
      <c r="P115" s="146"/>
      <c r="Q115" s="146"/>
      <c r="R115" s="146"/>
      <c r="S115" s="146"/>
      <c r="T115" s="146"/>
      <c r="U115" s="146"/>
      <c r="V115" s="146"/>
      <c r="W115" s="146"/>
      <c r="X115" s="146"/>
    </row>
    <row r="116" spans="14:24" x14ac:dyDescent="0.3">
      <c r="O116" s="61" t="s">
        <v>38</v>
      </c>
      <c r="P116" s="147"/>
      <c r="Q116" s="147"/>
      <c r="R116" s="147"/>
      <c r="S116" s="147"/>
      <c r="T116" s="147"/>
      <c r="U116" s="147"/>
      <c r="V116" s="147"/>
      <c r="W116" s="147"/>
      <c r="X116" s="147"/>
    </row>
    <row r="117" spans="14:24" x14ac:dyDescent="0.3">
      <c r="O117" s="61" t="s">
        <v>39</v>
      </c>
      <c r="P117" s="62" t="s">
        <v>7</v>
      </c>
      <c r="Q117" s="62" t="s">
        <v>1</v>
      </c>
      <c r="R117" s="62" t="s">
        <v>9</v>
      </c>
      <c r="S117" s="63" t="e">
        <f>12/$C$28</f>
        <v>#DIV/0!</v>
      </c>
      <c r="T117" s="63" t="e">
        <f>12/$C$29</f>
        <v>#DIV/0!</v>
      </c>
      <c r="U117" s="63" t="e">
        <f>12/$C$28/3.412</f>
        <v>#DIV/0!</v>
      </c>
      <c r="V117" s="63" t="e">
        <f>12/$C$29/3.412</f>
        <v>#DIV/0!</v>
      </c>
      <c r="W117" s="62">
        <v>0.3</v>
      </c>
      <c r="X117" s="62">
        <v>1.5</v>
      </c>
    </row>
    <row r="118" spans="14:24" x14ac:dyDescent="0.3">
      <c r="O118" s="61" t="s">
        <v>40</v>
      </c>
      <c r="P118" s="62" t="s">
        <v>1</v>
      </c>
      <c r="Q118" s="62" t="s">
        <v>7</v>
      </c>
      <c r="R118" s="62" t="s">
        <v>9</v>
      </c>
      <c r="S118" s="63" t="e">
        <f>12/$C$28</f>
        <v>#DIV/0!</v>
      </c>
      <c r="T118" s="63" t="e">
        <f>12/$C$29</f>
        <v>#DIV/0!</v>
      </c>
      <c r="U118" s="63">
        <f>$C$28/3.412</f>
        <v>0</v>
      </c>
      <c r="V118" s="63">
        <f>$C$29/3.412</f>
        <v>0</v>
      </c>
      <c r="W118" s="62">
        <f>12/W117</f>
        <v>40</v>
      </c>
      <c r="X118" s="62">
        <f>12/X117</f>
        <v>8</v>
      </c>
    </row>
    <row r="119" spans="14:24" x14ac:dyDescent="0.3">
      <c r="O119" s="61" t="s">
        <v>41</v>
      </c>
      <c r="P119" s="62" t="s">
        <v>9</v>
      </c>
      <c r="Q119" s="62" t="s">
        <v>7</v>
      </c>
      <c r="R119" s="62" t="s">
        <v>1</v>
      </c>
      <c r="S119" s="63" t="e">
        <f>12/($C$28*3.412)</f>
        <v>#DIV/0!</v>
      </c>
      <c r="T119" s="63" t="e">
        <f>12/($C$29*3.412)</f>
        <v>#DIV/0!</v>
      </c>
      <c r="U119" s="63">
        <f>$C$28*3.412</f>
        <v>0</v>
      </c>
      <c r="V119" s="63">
        <f>$C$29*3.412</f>
        <v>0</v>
      </c>
      <c r="W119" s="62"/>
      <c r="X119" s="62"/>
    </row>
    <row r="121" spans="14:24" x14ac:dyDescent="0.3">
      <c r="N121" s="64" t="s">
        <v>92</v>
      </c>
    </row>
    <row r="123" spans="14:24" x14ac:dyDescent="0.3">
      <c r="N123" s="65" t="s">
        <v>43</v>
      </c>
      <c r="O123" s="65" t="s">
        <v>45</v>
      </c>
    </row>
    <row r="124" spans="14:24" x14ac:dyDescent="0.3">
      <c r="N124" s="66" t="s">
        <v>44</v>
      </c>
      <c r="O124" s="66" t="s">
        <v>44</v>
      </c>
    </row>
    <row r="125" spans="14:24" ht="31.5" x14ac:dyDescent="0.3">
      <c r="N125" s="66" t="s">
        <v>48</v>
      </c>
      <c r="O125" s="66" t="s">
        <v>46</v>
      </c>
    </row>
    <row r="126" spans="14:24" x14ac:dyDescent="0.3">
      <c r="N126" s="66" t="s">
        <v>50</v>
      </c>
      <c r="O126" s="66" t="s">
        <v>51</v>
      </c>
    </row>
    <row r="127" spans="14:24" ht="31.5" x14ac:dyDescent="0.3">
      <c r="N127" s="67" t="s">
        <v>77</v>
      </c>
      <c r="O127" s="67" t="s">
        <v>77</v>
      </c>
    </row>
    <row r="128" spans="14:24" ht="31.5" x14ac:dyDescent="0.3">
      <c r="N128" s="66" t="s">
        <v>52</v>
      </c>
      <c r="O128" s="67" t="s">
        <v>47</v>
      </c>
    </row>
    <row r="129" spans="14:16" ht="31.5" x14ac:dyDescent="0.3">
      <c r="N129" s="67" t="s">
        <v>49</v>
      </c>
      <c r="O129" s="66" t="s">
        <v>47</v>
      </c>
    </row>
    <row r="130" spans="14:16" x14ac:dyDescent="0.3">
      <c r="O130" s="66"/>
    </row>
    <row r="132" spans="14:16" x14ac:dyDescent="0.3">
      <c r="N132" s="68" t="s">
        <v>59</v>
      </c>
      <c r="O132" s="68" t="s">
        <v>60</v>
      </c>
      <c r="P132" s="68" t="s">
        <v>61</v>
      </c>
    </row>
    <row r="133" spans="14:16" x14ac:dyDescent="0.3">
      <c r="N133" s="1" t="s">
        <v>58</v>
      </c>
      <c r="O133" s="1" t="s">
        <v>2</v>
      </c>
      <c r="P133" s="1" t="s">
        <v>3</v>
      </c>
    </row>
    <row r="134" spans="14:16" x14ac:dyDescent="0.3">
      <c r="N134" s="1" t="s">
        <v>7</v>
      </c>
      <c r="O134" s="1" t="s">
        <v>4</v>
      </c>
      <c r="P134" s="1" t="s">
        <v>47</v>
      </c>
    </row>
    <row r="135" spans="14:16" x14ac:dyDescent="0.3">
      <c r="N135" s="1" t="s">
        <v>1</v>
      </c>
      <c r="O135" s="1" t="s">
        <v>1</v>
      </c>
      <c r="P135" s="1" t="s">
        <v>47</v>
      </c>
    </row>
    <row r="137" spans="14:16" x14ac:dyDescent="0.3">
      <c r="N137" s="68" t="s">
        <v>67</v>
      </c>
      <c r="O137" s="68" t="s">
        <v>66</v>
      </c>
    </row>
    <row r="138" spans="14:16" x14ac:dyDescent="0.3">
      <c r="N138" s="1" t="s">
        <v>123</v>
      </c>
      <c r="O138" s="1" t="s">
        <v>124</v>
      </c>
    </row>
    <row r="139" spans="14:16" x14ac:dyDescent="0.3">
      <c r="N139" s="1" t="s">
        <v>68</v>
      </c>
      <c r="O139" s="1" t="s">
        <v>79</v>
      </c>
    </row>
    <row r="140" spans="14:16" x14ac:dyDescent="0.3">
      <c r="N140" s="1" t="s">
        <v>69</v>
      </c>
      <c r="O140" s="1" t="s">
        <v>80</v>
      </c>
    </row>
    <row r="141" spans="14:16" x14ac:dyDescent="0.3">
      <c r="N141" s="1" t="s">
        <v>70</v>
      </c>
      <c r="O141" s="1" t="s">
        <v>81</v>
      </c>
    </row>
    <row r="142" spans="14:16" x14ac:dyDescent="0.3">
      <c r="N142" s="1" t="s">
        <v>120</v>
      </c>
      <c r="O142" s="1" t="s">
        <v>121</v>
      </c>
    </row>
    <row r="143" spans="14:16" x14ac:dyDescent="0.3">
      <c r="N143" s="1" t="s">
        <v>71</v>
      </c>
      <c r="O143" s="1" t="s">
        <v>82</v>
      </c>
    </row>
    <row r="145" spans="14:14" x14ac:dyDescent="0.3">
      <c r="N145" s="68" t="s">
        <v>118</v>
      </c>
    </row>
    <row r="146" spans="14:14" x14ac:dyDescent="0.3">
      <c r="N146" s="1" t="s">
        <v>119</v>
      </c>
    </row>
  </sheetData>
  <sheetProtection password="A983" sheet="1" scenarios="1" formatCells="0" formatRows="0"/>
  <mergeCells count="38">
    <mergeCell ref="A4:I4"/>
    <mergeCell ref="U114:U116"/>
    <mergeCell ref="V114:V116"/>
    <mergeCell ref="W114:W116"/>
    <mergeCell ref="X114:X116"/>
    <mergeCell ref="C33:D33"/>
    <mergeCell ref="D50:E50"/>
    <mergeCell ref="D51:E51"/>
    <mergeCell ref="D49:E49"/>
    <mergeCell ref="A45:I45"/>
    <mergeCell ref="P114:P116"/>
    <mergeCell ref="Q114:Q116"/>
    <mergeCell ref="R114:R116"/>
    <mergeCell ref="S114:S116"/>
    <mergeCell ref="T114:T116"/>
    <mergeCell ref="A67:B67"/>
    <mergeCell ref="H66:I66"/>
    <mergeCell ref="A5:H5"/>
    <mergeCell ref="C8:G8"/>
    <mergeCell ref="S99:T100"/>
    <mergeCell ref="U99:V100"/>
    <mergeCell ref="W99:X100"/>
    <mergeCell ref="A6:I6"/>
    <mergeCell ref="F66:G66"/>
    <mergeCell ref="F67:G67"/>
    <mergeCell ref="C66:E66"/>
    <mergeCell ref="C67:E67"/>
    <mergeCell ref="E54:I58"/>
    <mergeCell ref="C69:K69"/>
    <mergeCell ref="C70:K70"/>
    <mergeCell ref="J62:K62"/>
    <mergeCell ref="J63:K63"/>
    <mergeCell ref="A66:B66"/>
    <mergeCell ref="H67:I67"/>
    <mergeCell ref="C64:K64"/>
    <mergeCell ref="C65:K65"/>
    <mergeCell ref="J66:K66"/>
    <mergeCell ref="J67:K67"/>
  </mergeCells>
  <conditionalFormatting sqref="D36:D39">
    <cfRule type="expression" dxfId="5" priority="6">
      <formula>IF($C$33="Tons and Total kW",TRUE, FALSE)</formula>
    </cfRule>
  </conditionalFormatting>
  <conditionalFormatting sqref="C53">
    <cfRule type="expression" dxfId="4" priority="4">
      <formula>IF($F$52="Neither",TRUE, FALSE)</formula>
    </cfRule>
  </conditionalFormatting>
  <conditionalFormatting sqref="F50">
    <cfRule type="containsText" dxfId="3" priority="3" operator="containsText" text="Must select a chiller type first!">
      <formula>NOT(ISERROR(SEARCH("Must select a chiller type first!",F50)))</formula>
    </cfRule>
    <cfRule type="containsText" dxfId="2" priority="5" operator="containsText" text="Does Not Qualify">
      <formula>NOT(ISERROR(SEARCH("Does Not Qualify",F50)))</formula>
    </cfRule>
  </conditionalFormatting>
  <conditionalFormatting sqref="F51">
    <cfRule type="containsText" dxfId="1" priority="1" operator="containsText" text="Does Not Qualify">
      <formula>NOT(ISERROR(SEARCH("Does Not Qualify",F51)))</formula>
    </cfRule>
    <cfRule type="containsText" dxfId="0" priority="2" operator="containsText" text="Must select a chiller type first!">
      <formula>NOT(ISERROR(SEARCH("Must select a chiller type first!",F51)))</formula>
    </cfRule>
  </conditionalFormatting>
  <dataValidations count="4">
    <dataValidation type="list" allowBlank="1" showInputMessage="1" showErrorMessage="1" sqref="C8">
      <formula1>$O$102:$O$111</formula1>
    </dataValidation>
    <dataValidation type="list" allowBlank="1" showInputMessage="1" showErrorMessage="1" sqref="C26">
      <formula1>$P$117:$P$119</formula1>
    </dataValidation>
    <dataValidation type="list" allowBlank="1" showInputMessage="1" showErrorMessage="1" sqref="C33">
      <formula1>$N$133:$N$135</formula1>
    </dataValidation>
    <dataValidation type="list" allowBlank="1" showInputMessage="1" showErrorMessage="1" sqref="C10">
      <formula1>"Business, Multifamily"</formula1>
    </dataValidation>
  </dataValidations>
  <hyperlinks>
    <hyperlink ref="A32" r:id="rId1"/>
  </hyperlinks>
  <pageMargins left="0.5" right="0.5" top="0.75" bottom="0.75" header="0.3" footer="0.3"/>
  <pageSetup scale="81" orientation="portrait" r:id="rId2"/>
  <drawing r:id="rId3"/>
  <legacy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IconOverlay xmlns="http://schemas.microsoft.com/sharepoint/v4"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744766DEA9451498F912F1E9B26103F" ma:contentTypeVersion="4" ma:contentTypeDescription="Create a new document." ma:contentTypeScope="" ma:versionID="8e6852776ea97430b6065aacbeeae10d">
  <xsd:schema xmlns:xsd="http://www.w3.org/2001/XMLSchema" xmlns:xs="http://www.w3.org/2001/XMLSchema" xmlns:p="http://schemas.microsoft.com/office/2006/metadata/properties" xmlns:ns2="79aefc65-fbeb-4a73-ab03-3117ffe783f9" xmlns:ns3="http://schemas.microsoft.com/sharepoint/v4" targetNamespace="http://schemas.microsoft.com/office/2006/metadata/properties" ma:root="true" ma:fieldsID="6ff4cd41e7e08344065610c37bb84dff" ns2:_="" ns3:_="">
    <xsd:import namespace="79aefc65-fbeb-4a73-ab03-3117ffe783f9"/>
    <xsd:import namespace="http://schemas.microsoft.com/sharepoint/v4"/>
    <xsd:element name="properties">
      <xsd:complexType>
        <xsd:sequence>
          <xsd:element name="documentManagement">
            <xsd:complexType>
              <xsd:all>
                <xsd:element ref="ns2:SharedWithUsers" minOccurs="0"/>
                <xsd:element ref="ns2:SharingHintHash" minOccurs="0"/>
                <xsd:element ref="ns2:SharedWithDetails" minOccurs="0"/>
                <xsd:element ref="ns3: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9aefc65-fbeb-4a73-ab03-3117ffe783f9"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Sharing Hint Hash" ma:internalName="SharingHintHash" ma:readOnly="true">
      <xsd:simpleType>
        <xsd:restriction base="dms:Text"/>
      </xsd:simpleType>
    </xsd:element>
    <xsd:element name="SharedWithDetails" ma:index="10"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1"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E2D969A-FA7D-4F6F-B002-9CD807FB3DB2}">
  <ds:schemaRefs>
    <ds:schemaRef ds:uri="http://schemas.microsoft.com/sharepoint/v3/contenttype/forms"/>
  </ds:schemaRefs>
</ds:datastoreItem>
</file>

<file path=customXml/itemProps2.xml><?xml version="1.0" encoding="utf-8"?>
<ds:datastoreItem xmlns:ds="http://schemas.openxmlformats.org/officeDocument/2006/customXml" ds:itemID="{0DE5B04F-5320-46C1-B1AF-F07D0FA70821}">
  <ds:schemaRefs>
    <ds:schemaRef ds:uri="http://purl.org/dc/elements/1.1/"/>
    <ds:schemaRef ds:uri="http://www.w3.org/XML/1998/namespace"/>
    <ds:schemaRef ds:uri="http://purl.org/dc/terms/"/>
    <ds:schemaRef ds:uri="http://schemas.microsoft.com/office/infopath/2007/PartnerControls"/>
    <ds:schemaRef ds:uri="http://schemas.openxmlformats.org/package/2006/metadata/core-properties"/>
    <ds:schemaRef ds:uri="http://schemas.microsoft.com/office/2006/documentManagement/types"/>
    <ds:schemaRef ds:uri="79aefc65-fbeb-4a73-ab03-3117ffe783f9"/>
    <ds:schemaRef ds:uri="http://schemas.microsoft.com/sharepoint/v4"/>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A60306CB-24D3-46BF-9D55-F10329C0AC7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9aefc65-fbeb-4a73-ab03-3117ffe783f9"/>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Chiller Eligibility</vt:lpstr>
      <vt:lpstr>'Chiller Eligibility'!Print_Area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Zach Obert</dc:creator>
  <cp:lastModifiedBy>Zach Obert</cp:lastModifiedBy>
  <cp:lastPrinted>2014-07-31T19:33:53Z</cp:lastPrinted>
  <dcterms:created xsi:type="dcterms:W3CDTF">2014-07-28T18:22:22Z</dcterms:created>
  <dcterms:modified xsi:type="dcterms:W3CDTF">2016-01-25T19:35:25Z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0x0101006744766DEA9451498F912F1E9B26103F</vt:lpwstr>
  </property>
</Properties>
</file>