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mc:AlternateContent xmlns:mc="http://schemas.openxmlformats.org/markup-compatibility/2006">
    <mc:Choice Requires="x15">
      <x15ac:absPath xmlns:x15ac="http://schemas.microsoft.com/office/spreadsheetml/2010/11/ac" url="https://franklinenergy.sharepoint.com/sites/Focus/Management/Technical/_QA_Tech_Staff/Calc_Tool_Development/SBP_Savings_Estimator/"/>
    </mc:Choice>
  </mc:AlternateContent>
  <xr:revisionPtr revIDLastSave="9" documentId="11_8551E6797B6A515F60355F251BA50B76E50FB888" xr6:coauthVersionLast="33" xr6:coauthVersionMax="40" xr10:uidLastSave="{4A256BF2-BF26-4F88-802A-64791FCE5F16}"/>
  <workbookProtection workbookAlgorithmName="SHA-512" workbookHashValue="HuabtMFsbjJGOy8zhItyUMArjgxC0Jwn/15TtXV1tVziqDJmXeKQhsTsYF0QeLGQz069UT6Syv+2USBn2smJmA==" workbookSaltValue="UOFFrdST94w8tfGjEjF/kA==" workbookSpinCount="100000" lockStructure="1"/>
  <bookViews>
    <workbookView xWindow="0" yWindow="0" windowWidth="28800" windowHeight="11775" xr2:uid="{00000000-000D-0000-FFFF-FFFF00000000}"/>
  </bookViews>
  <sheets>
    <sheet name="Lighting Savings" sheetId="1" r:id="rId1"/>
    <sheet name="Lighting Report" sheetId="5" r:id="rId2"/>
    <sheet name="Refrigeration Savings" sheetId="2" r:id="rId3"/>
    <sheet name="Criteria-SBP" sheetId="3" state="hidden" r:id="rId4"/>
    <sheet name="Refrig Measure Savings" sheetId="6" state="hidden" r:id="rId5"/>
    <sheet name="Criteria-Business" sheetId="4" state="hidden" r:id="rId6"/>
  </sheet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1______123Graph_AEND" hidden="1">#REF!</definedName>
    <definedName name="_1_123Graph_AEND" localSheetId="5" hidden="1">#REF!</definedName>
    <definedName name="_1_123Graph_AEND" localSheetId="3" hidden="1">#REF!</definedName>
    <definedName name="_1_123Graph_AEND" hidden="1">#REF!</definedName>
    <definedName name="_2______123Graph_XEND" hidden="1">#REF!</definedName>
    <definedName name="_2_123Graph_AEND" hidden="1">#REF!</definedName>
    <definedName name="_2_123Graph_XEND" localSheetId="5" hidden="1">#REF!</definedName>
    <definedName name="_2_123Graph_XEND" hidden="1">#REF!</definedName>
    <definedName name="_4_123Graph_XEND" hidden="1">#REF!</definedName>
    <definedName name="_xlnm._FilterDatabase" localSheetId="5" hidden="1">'Criteria-Business'!$A$2:$M$178</definedName>
    <definedName name="_xlnm._FilterDatabase" localSheetId="3" hidden="1">'Criteria-SBP'!$A$2:$L$184</definedName>
    <definedName name="_xlnm._FilterDatabase" localSheetId="4" hidden="1">'Refrig Measure Savings'!#REF!</definedName>
    <definedName name="_Key1" localSheetId="5" hidden="1">#REF!</definedName>
    <definedName name="_Key1" localSheetId="3" hidden="1">#REF!</definedName>
    <definedName name="_Key1" hidden="1">#REF!</definedName>
    <definedName name="_Key2" localSheetId="5" hidden="1">#REF!</definedName>
    <definedName name="_Key2" hidden="1">#REF!</definedName>
    <definedName name="_Order1" hidden="1">255</definedName>
    <definedName name="_Order2" hidden="1">255</definedName>
    <definedName name="_Sort" localSheetId="5" hidden="1">#REF!</definedName>
    <definedName name="_Sort" localSheetId="3" hidden="1">#REF!</definedName>
    <definedName name="_Sort" hidden="1">#REF!</definedName>
    <definedName name="AEND" localSheetId="5" hidden="1">#REF!</definedName>
    <definedName name="AEND" localSheetId="3" hidden="1">#REF!</definedName>
    <definedName name="AEND" hidden="1">#REF!</definedName>
    <definedName name="afcqw" localSheetId="5" hidden="1">#REF!</definedName>
    <definedName name="afcqw" localSheetId="3" hidden="1">#REF!</definedName>
    <definedName name="afcqw" hidden="1">#REF!</definedName>
    <definedName name="awgfag" localSheetId="5" hidden="1">#REF!</definedName>
    <definedName name="awgfag" hidden="1">#REF!</definedName>
    <definedName name="CeramicMetalHalide">'Lighting Savings'!$AW$174:$AW$184</definedName>
    <definedName name="CFL2PinBased">'Lighting Savings'!$AW$193:$AW$197</definedName>
    <definedName name="CFL4PinBased">'Lighting Savings'!$AW$198:$AW$227</definedName>
    <definedName name="CFLWithIntegralBallastScrewOrGU24Based">'Lighting Savings'!$AW$228:$AW$253</definedName>
    <definedName name="CMHandPSMHLamps">'Lighting Savings'!$AW$185:$AW$192</definedName>
    <definedName name="ColdCathodeFluorescentScrewBasedLamps">'Lighting Savings'!$AW$254:$AW$257</definedName>
    <definedName name="ExitSigns">'Lighting Savings'!$AW$258:$AW$270</definedName>
    <definedName name="HighPressureSodium">'Lighting Savings'!$AW$465:$AW$477</definedName>
    <definedName name="HPT8_4ft">'Lighting Savings'!$AW$407:$AW$418</definedName>
    <definedName name="Incandescent">'Lighting Savings'!$AW$478:$AW$487</definedName>
    <definedName name="Induction">'Lighting Savings'!$AW$488:$AW$501</definedName>
    <definedName name="LED_DLC_Indoor">'Lighting Savings'!$AW$515:$AW$528</definedName>
    <definedName name="LED_DLC_IndoorRetrofitKit">'Lighting Savings'!$AW$535:$AW$540</definedName>
    <definedName name="LED_DLC_LinearReplacementLamp">'Lighting Savings'!$AW$541:$AW$542</definedName>
    <definedName name="LED_DLC_MogulScrewBaseHidReplacement">'Lighting Savings'!$AW$543:$AW$549</definedName>
    <definedName name="LED_DLC_Outdoor">'Lighting Savings'!$AW$505:$AW$514</definedName>
    <definedName name="LED_DLC_OutdoorRetrofitKit">'Lighting Savings'!$AW$529:$AW$534</definedName>
    <definedName name="LED_EnergyStar">'Lighting Savings'!$AW$503:$AW$504</definedName>
    <definedName name="LED_Lighting">'Lighting Savings'!$AW$502</definedName>
    <definedName name="LightingCategoryCompleteList">'Lighting Savings'!$AW$228:$AW$601</definedName>
    <definedName name="MercuryVapor">'Lighting Savings'!$AW$550:$AW$557</definedName>
    <definedName name="MetalHalide">'Lighting Savings'!$AW$558:$AW$572</definedName>
    <definedName name="Neon">'Lighting Savings'!$AW$589:$AW$599</definedName>
    <definedName name="OtherLampOrFixture">'Lighting Savings'!$AW$600:$AW$601</definedName>
    <definedName name="_xlnm.Print_Area" localSheetId="0">'Lighting Savings'!$B$1:$AP$71</definedName>
    <definedName name="PulseStartMetalHalide">'Lighting Savings'!$AW$573:$AW$588</definedName>
    <definedName name="qrgwtehbwt" localSheetId="5" hidden="1">#REF!</definedName>
    <definedName name="qrgwtehbwt" localSheetId="3" hidden="1">#REF!</definedName>
    <definedName name="qrgwtehbwt" hidden="1">#REF!</definedName>
    <definedName name="RWT8_4ft">'Lighting Savings'!$AW$419:$AW$442</definedName>
    <definedName name="T12_1.5ft">'Lighting Savings'!$AW$271:$AW$272</definedName>
    <definedName name="T12_2ft">'Lighting Savings'!$AW$273:$AW$279</definedName>
    <definedName name="T12_3ft">'Lighting Savings'!$AW$280:$AW$291</definedName>
    <definedName name="T12_4ft">'Lighting Savings'!$AW$292:$AW$308</definedName>
    <definedName name="T12_5ft">'Lighting Savings'!$AW$309:$AW$310</definedName>
    <definedName name="T12_6ft">'Lighting Savings'!$AW$311:$AW$314</definedName>
    <definedName name="T12_8ft">'Lighting Savings'!$AW$315:$AW$326</definedName>
    <definedName name="T12U_tube">'Lighting Savings'!$AW$327:$AW$329</definedName>
    <definedName name="T5_2ft">'Lighting Savings'!$AW$330:$AW$338</definedName>
    <definedName name="T5_3ft">'Lighting Savings'!$AW$339:$AW$346</definedName>
    <definedName name="T5_4ft">'Lighting Savings'!$AW$347:$AW$364</definedName>
    <definedName name="T8_1.5ft">'Lighting Savings'!$AW$365:$AW$366</definedName>
    <definedName name="T8_2ft">'Lighting Savings'!$AW$367:$AW$370</definedName>
    <definedName name="T8_3ft">'Lighting Savings'!$AW$371:$AW$375</definedName>
    <definedName name="T8_4ft">'Lighting Savings'!$AW$376:$AW$391</definedName>
    <definedName name="T8_4ft_Lamp">'Lighting Savings'!$AW$456:$AW$459</definedName>
    <definedName name="T8_4ft_StdBallastRWlamp">'Lighting Savings'!$AW$392:$AW$406</definedName>
    <definedName name="T8_5ft">'Lighting Savings'!$AW$443:$AW$446</definedName>
    <definedName name="T8_8ft">'Lighting Savings'!$AW$447:$AW$452</definedName>
    <definedName name="T8_8ft_Lamp">'Lighting Savings'!$AW$460:$AW$464</definedName>
    <definedName name="T8U_tube">'Lighting Savings'!$AW$453:$AW$455</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2" i="1" l="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21" i="1"/>
  <c r="AM20" i="1"/>
  <c r="Y69" i="1"/>
  <c r="X69" i="1"/>
  <c r="Y68" i="1"/>
  <c r="X68" i="1"/>
  <c r="AK68" i="1" s="1"/>
  <c r="Y67" i="1"/>
  <c r="X67" i="1"/>
  <c r="Y66" i="1"/>
  <c r="X66" i="1"/>
  <c r="Y65" i="1"/>
  <c r="X65" i="1"/>
  <c r="Y64" i="1"/>
  <c r="X64" i="1"/>
  <c r="AK64" i="1" s="1"/>
  <c r="Y63" i="1"/>
  <c r="X63" i="1"/>
  <c r="Y62" i="1"/>
  <c r="X62" i="1"/>
  <c r="AK62" i="1" s="1"/>
  <c r="Y61" i="1"/>
  <c r="X61" i="1"/>
  <c r="Y60" i="1"/>
  <c r="X60" i="1"/>
  <c r="Y59" i="1"/>
  <c r="X59" i="1"/>
  <c r="Y58" i="1"/>
  <c r="X58" i="1"/>
  <c r="Y57" i="1"/>
  <c r="X57" i="1"/>
  <c r="Y56" i="1"/>
  <c r="X56" i="1"/>
  <c r="Y55" i="1"/>
  <c r="X55" i="1"/>
  <c r="Y54" i="1"/>
  <c r="X54" i="1"/>
  <c r="Y53" i="1"/>
  <c r="X53" i="1"/>
  <c r="Y52" i="1"/>
  <c r="X52" i="1"/>
  <c r="N42" i="5" s="1"/>
  <c r="Y51" i="1"/>
  <c r="X51" i="1"/>
  <c r="Y50" i="1"/>
  <c r="X50" i="1"/>
  <c r="N40" i="5" s="1"/>
  <c r="Y49" i="1"/>
  <c r="X49" i="1"/>
  <c r="Y48" i="1"/>
  <c r="X48" i="1"/>
  <c r="Y47" i="1"/>
  <c r="X47" i="1"/>
  <c r="Y46" i="1"/>
  <c r="X46" i="1"/>
  <c r="Y45" i="1"/>
  <c r="X45" i="1"/>
  <c r="Y44" i="1"/>
  <c r="X44" i="1"/>
  <c r="AK44" i="1" s="1"/>
  <c r="Y43" i="1"/>
  <c r="X43" i="1"/>
  <c r="Y42" i="1"/>
  <c r="X42" i="1"/>
  <c r="AK42" i="1" s="1"/>
  <c r="Y41" i="1"/>
  <c r="X41" i="1"/>
  <c r="Y40" i="1"/>
  <c r="X40" i="1"/>
  <c r="Y39" i="1"/>
  <c r="X39" i="1"/>
  <c r="Y38" i="1"/>
  <c r="X38" i="1"/>
  <c r="Y37" i="1"/>
  <c r="X37" i="1"/>
  <c r="Y36" i="1"/>
  <c r="X36" i="1"/>
  <c r="AK36" i="1" s="1"/>
  <c r="Y35" i="1"/>
  <c r="X35" i="1"/>
  <c r="Y34" i="1"/>
  <c r="X34" i="1"/>
  <c r="AK34" i="1" s="1"/>
  <c r="Y33" i="1"/>
  <c r="X33" i="1"/>
  <c r="Y32" i="1"/>
  <c r="X32" i="1"/>
  <c r="AK32" i="1" s="1"/>
  <c r="Y31" i="1"/>
  <c r="X31" i="1"/>
  <c r="Y30" i="1"/>
  <c r="X30" i="1"/>
  <c r="Y29" i="1"/>
  <c r="X29" i="1"/>
  <c r="Y28" i="1"/>
  <c r="X28" i="1"/>
  <c r="Y27" i="1"/>
  <c r="X27" i="1"/>
  <c r="Y26" i="1"/>
  <c r="X26" i="1"/>
  <c r="Y25" i="1"/>
  <c r="X25" i="1"/>
  <c r="Y24" i="1"/>
  <c r="X24" i="1"/>
  <c r="N14" i="5" s="1"/>
  <c r="Y23" i="1"/>
  <c r="X23" i="1"/>
  <c r="Y22" i="1"/>
  <c r="X22" i="1"/>
  <c r="N12" i="5" s="1"/>
  <c r="Y21" i="1"/>
  <c r="X21" i="1"/>
  <c r="Y20" i="1"/>
  <c r="X20" i="1"/>
  <c r="C115" i="3"/>
  <c r="C116" i="3"/>
  <c r="C117" i="3"/>
  <c r="M116" i="3"/>
  <c r="N116" i="3"/>
  <c r="O116" i="3"/>
  <c r="M117" i="3"/>
  <c r="N117" i="3"/>
  <c r="O117" i="3"/>
  <c r="M118" i="3"/>
  <c r="N118" i="3"/>
  <c r="O118" i="3"/>
  <c r="M119" i="3"/>
  <c r="N119" i="3"/>
  <c r="O119" i="3"/>
  <c r="M120" i="3"/>
  <c r="N120" i="3"/>
  <c r="O120" i="3"/>
  <c r="M121" i="3"/>
  <c r="N121" i="3"/>
  <c r="O121" i="3"/>
  <c r="M122" i="3"/>
  <c r="N122" i="3"/>
  <c r="O122" i="3"/>
  <c r="M123" i="3"/>
  <c r="N123" i="3"/>
  <c r="O123" i="3"/>
  <c r="M124" i="3"/>
  <c r="N124" i="3"/>
  <c r="O124" i="3"/>
  <c r="M125" i="3"/>
  <c r="N125" i="3"/>
  <c r="O125" i="3"/>
  <c r="M126" i="3"/>
  <c r="N126" i="3"/>
  <c r="O126" i="3"/>
  <c r="M127" i="3"/>
  <c r="N127" i="3"/>
  <c r="O127" i="3"/>
  <c r="M128" i="3"/>
  <c r="N128" i="3"/>
  <c r="O128" i="3"/>
  <c r="M129" i="3"/>
  <c r="N129" i="3"/>
  <c r="O129" i="3"/>
  <c r="M130" i="3"/>
  <c r="N130" i="3"/>
  <c r="O130" i="3"/>
  <c r="M131" i="3"/>
  <c r="N131" i="3"/>
  <c r="O131" i="3"/>
  <c r="M133" i="3"/>
  <c r="N133" i="3"/>
  <c r="O133" i="3"/>
  <c r="M134" i="3"/>
  <c r="N134" i="3"/>
  <c r="O134" i="3"/>
  <c r="M135" i="3"/>
  <c r="N135" i="3"/>
  <c r="O135" i="3"/>
  <c r="M136" i="3"/>
  <c r="N136" i="3"/>
  <c r="O136" i="3"/>
  <c r="M137" i="3"/>
  <c r="N137" i="3"/>
  <c r="O137" i="3"/>
  <c r="M138" i="3"/>
  <c r="N138" i="3"/>
  <c r="O138" i="3"/>
  <c r="M139" i="3"/>
  <c r="N139" i="3"/>
  <c r="O139" i="3"/>
  <c r="M140" i="3"/>
  <c r="N140" i="3"/>
  <c r="O140" i="3"/>
  <c r="M141" i="3"/>
  <c r="N141" i="3"/>
  <c r="O141" i="3"/>
  <c r="M142" i="3"/>
  <c r="N142" i="3"/>
  <c r="O142" i="3"/>
  <c r="M143" i="3"/>
  <c r="N143" i="3"/>
  <c r="O143" i="3"/>
  <c r="M144" i="3"/>
  <c r="N144" i="3"/>
  <c r="O144" i="3"/>
  <c r="M145" i="3"/>
  <c r="N145" i="3"/>
  <c r="O145" i="3"/>
  <c r="M146" i="3"/>
  <c r="N146" i="3"/>
  <c r="O146" i="3"/>
  <c r="M147" i="3"/>
  <c r="N147" i="3"/>
  <c r="O147" i="3"/>
  <c r="M148" i="3"/>
  <c r="N148" i="3"/>
  <c r="O148" i="3"/>
  <c r="M149" i="3"/>
  <c r="N149" i="3"/>
  <c r="O149" i="3"/>
  <c r="M150" i="3"/>
  <c r="N150" i="3"/>
  <c r="O150" i="3"/>
  <c r="M151" i="3"/>
  <c r="N151" i="3"/>
  <c r="O151" i="3"/>
  <c r="M152" i="3"/>
  <c r="N152" i="3"/>
  <c r="O152" i="3"/>
  <c r="M153" i="3"/>
  <c r="N153" i="3"/>
  <c r="O153" i="3"/>
  <c r="M154" i="3"/>
  <c r="N154" i="3"/>
  <c r="O154" i="3"/>
  <c r="M155" i="3"/>
  <c r="N155" i="3"/>
  <c r="O155" i="3"/>
  <c r="M156" i="3"/>
  <c r="N156" i="3"/>
  <c r="O156" i="3"/>
  <c r="M157" i="3"/>
  <c r="N157" i="3"/>
  <c r="O157" i="3"/>
  <c r="M158" i="3"/>
  <c r="N158" i="3"/>
  <c r="O158" i="3"/>
  <c r="M159" i="3"/>
  <c r="N159" i="3"/>
  <c r="O159" i="3"/>
  <c r="M160" i="3"/>
  <c r="N160" i="3"/>
  <c r="O160" i="3"/>
  <c r="M161" i="3"/>
  <c r="N161" i="3"/>
  <c r="O161" i="3"/>
  <c r="M162" i="3"/>
  <c r="N162" i="3"/>
  <c r="O162" i="3"/>
  <c r="M163" i="3"/>
  <c r="N163" i="3"/>
  <c r="O163" i="3"/>
  <c r="M164" i="3"/>
  <c r="N164" i="3"/>
  <c r="O164" i="3"/>
  <c r="M165" i="3"/>
  <c r="N165" i="3"/>
  <c r="O165" i="3"/>
  <c r="M166" i="3"/>
  <c r="N166" i="3"/>
  <c r="O166" i="3"/>
  <c r="M167" i="3"/>
  <c r="N167" i="3"/>
  <c r="O167" i="3"/>
  <c r="M168" i="3"/>
  <c r="N168" i="3"/>
  <c r="O168" i="3"/>
  <c r="M169" i="3"/>
  <c r="N169" i="3"/>
  <c r="O169" i="3"/>
  <c r="M171" i="3"/>
  <c r="N171" i="3"/>
  <c r="O171" i="3"/>
  <c r="M172" i="3"/>
  <c r="N172" i="3"/>
  <c r="O172" i="3"/>
  <c r="M173" i="3"/>
  <c r="N173" i="3"/>
  <c r="O173" i="3"/>
  <c r="M174" i="3"/>
  <c r="N174" i="3"/>
  <c r="O174" i="3"/>
  <c r="M175" i="3"/>
  <c r="N175" i="3"/>
  <c r="O175" i="3"/>
  <c r="M176" i="3"/>
  <c r="N176" i="3"/>
  <c r="O176" i="3"/>
  <c r="M177" i="3"/>
  <c r="N177" i="3"/>
  <c r="O177" i="3"/>
  <c r="M178" i="3"/>
  <c r="N178" i="3"/>
  <c r="O178" i="3"/>
  <c r="M179" i="3"/>
  <c r="N179" i="3"/>
  <c r="O179" i="3"/>
  <c r="M180" i="3"/>
  <c r="N180" i="3"/>
  <c r="O180" i="3"/>
  <c r="M181" i="3"/>
  <c r="N181" i="3"/>
  <c r="O181" i="3"/>
  <c r="M182" i="3"/>
  <c r="N182" i="3"/>
  <c r="O182" i="3"/>
  <c r="M183" i="3"/>
  <c r="N183" i="3"/>
  <c r="O183" i="3"/>
  <c r="M184" i="3"/>
  <c r="N184" i="3"/>
  <c r="O184" i="3"/>
  <c r="O115" i="3"/>
  <c r="N115" i="3"/>
  <c r="M115" i="3"/>
  <c r="J22" i="2"/>
  <c r="K22" i="2"/>
  <c r="R22" i="2"/>
  <c r="L22" i="2"/>
  <c r="M22" i="2"/>
  <c r="N22" i="2"/>
  <c r="O22" i="2"/>
  <c r="P22" i="2"/>
  <c r="I22" i="2"/>
  <c r="Q22" i="2"/>
  <c r="T22" i="2"/>
  <c r="U22" i="2"/>
  <c r="V22" i="2"/>
  <c r="J23" i="2"/>
  <c r="K23" i="2"/>
  <c r="R23" i="2"/>
  <c r="L23" i="2"/>
  <c r="O23" i="2"/>
  <c r="T23" i="2"/>
  <c r="U23" i="2"/>
  <c r="X23" i="2"/>
  <c r="J24" i="2"/>
  <c r="K24" i="2"/>
  <c r="R24" i="2"/>
  <c r="L24" i="2"/>
  <c r="M24" i="2"/>
  <c r="N24" i="2"/>
  <c r="O24" i="2"/>
  <c r="P24" i="2"/>
  <c r="I24" i="2"/>
  <c r="Q24" i="2"/>
  <c r="T24" i="2"/>
  <c r="U24" i="2"/>
  <c r="X24" i="2"/>
  <c r="J25" i="2"/>
  <c r="K25" i="2"/>
  <c r="L25" i="2"/>
  <c r="N25" i="2"/>
  <c r="P25" i="2"/>
  <c r="O25" i="2"/>
  <c r="T25" i="2"/>
  <c r="U25" i="2"/>
  <c r="M25" i="2"/>
  <c r="J26" i="2"/>
  <c r="K26" i="2"/>
  <c r="R26" i="2"/>
  <c r="L26" i="2"/>
  <c r="M26" i="2"/>
  <c r="N26" i="2"/>
  <c r="O26" i="2"/>
  <c r="P26" i="2"/>
  <c r="I26" i="2"/>
  <c r="Q26" i="2"/>
  <c r="T26" i="2"/>
  <c r="U26" i="2"/>
  <c r="V26" i="2"/>
  <c r="J27" i="2"/>
  <c r="K27" i="2"/>
  <c r="R27" i="2"/>
  <c r="L27" i="2"/>
  <c r="M27" i="2"/>
  <c r="N27" i="2"/>
  <c r="O27" i="2"/>
  <c r="P27" i="2"/>
  <c r="I27" i="2"/>
  <c r="S27" i="2"/>
  <c r="T27" i="2"/>
  <c r="U27" i="2"/>
  <c r="W27" i="2"/>
  <c r="J28" i="2"/>
  <c r="K28" i="2"/>
  <c r="R28" i="2"/>
  <c r="L28" i="2"/>
  <c r="M28" i="2"/>
  <c r="N28" i="2"/>
  <c r="O28" i="2"/>
  <c r="P28" i="2"/>
  <c r="I28" i="2"/>
  <c r="S28" i="2"/>
  <c r="T28" i="2"/>
  <c r="U28" i="2"/>
  <c r="X28" i="2"/>
  <c r="J29" i="2"/>
  <c r="K29" i="2"/>
  <c r="R29" i="2"/>
  <c r="L29" i="2"/>
  <c r="M29" i="2"/>
  <c r="N29" i="2"/>
  <c r="O29" i="2"/>
  <c r="P29" i="2"/>
  <c r="I29" i="2"/>
  <c r="Q29" i="2"/>
  <c r="T29" i="2"/>
  <c r="U29" i="2"/>
  <c r="W29" i="2"/>
  <c r="J30" i="2"/>
  <c r="K30" i="2"/>
  <c r="R30" i="2"/>
  <c r="L30" i="2"/>
  <c r="M30" i="2"/>
  <c r="N30" i="2"/>
  <c r="O30" i="2"/>
  <c r="P30" i="2"/>
  <c r="I30" i="2"/>
  <c r="Q30" i="2"/>
  <c r="T30" i="2"/>
  <c r="U30" i="2"/>
  <c r="V30" i="2"/>
  <c r="J31" i="2"/>
  <c r="K31" i="2"/>
  <c r="R31" i="2"/>
  <c r="L31" i="2"/>
  <c r="M31" i="2"/>
  <c r="N31" i="2"/>
  <c r="O31" i="2"/>
  <c r="P31" i="2"/>
  <c r="I31" i="2"/>
  <c r="S31" i="2"/>
  <c r="T31" i="2"/>
  <c r="U31" i="2"/>
  <c r="W31" i="2"/>
  <c r="J32" i="2"/>
  <c r="K32" i="2"/>
  <c r="R32" i="2"/>
  <c r="L32" i="2"/>
  <c r="M32" i="2"/>
  <c r="N32" i="2"/>
  <c r="O32" i="2"/>
  <c r="P32" i="2"/>
  <c r="I32" i="2"/>
  <c r="S32" i="2"/>
  <c r="T32" i="2"/>
  <c r="U32" i="2"/>
  <c r="X32" i="2"/>
  <c r="J33" i="2"/>
  <c r="K33" i="2"/>
  <c r="R33" i="2"/>
  <c r="L33" i="2"/>
  <c r="M33" i="2"/>
  <c r="N33" i="2"/>
  <c r="O33" i="2"/>
  <c r="P33" i="2"/>
  <c r="I33" i="2"/>
  <c r="Q33" i="2"/>
  <c r="T33" i="2"/>
  <c r="U33" i="2"/>
  <c r="V33" i="2"/>
  <c r="J34" i="2"/>
  <c r="K34" i="2"/>
  <c r="R34" i="2"/>
  <c r="L34" i="2"/>
  <c r="M34" i="2"/>
  <c r="N34" i="2"/>
  <c r="O34" i="2"/>
  <c r="P34" i="2"/>
  <c r="I34" i="2"/>
  <c r="Q34" i="2"/>
  <c r="T34" i="2"/>
  <c r="U34" i="2"/>
  <c r="V34" i="2"/>
  <c r="J35" i="2"/>
  <c r="K35" i="2"/>
  <c r="R35" i="2"/>
  <c r="L35" i="2"/>
  <c r="M35" i="2"/>
  <c r="N35" i="2"/>
  <c r="O35" i="2"/>
  <c r="P35" i="2"/>
  <c r="I35" i="2"/>
  <c r="S35" i="2"/>
  <c r="T35" i="2"/>
  <c r="U35" i="2"/>
  <c r="W35" i="2"/>
  <c r="J36" i="2"/>
  <c r="K36" i="2"/>
  <c r="R36" i="2"/>
  <c r="L36" i="2"/>
  <c r="M36" i="2"/>
  <c r="N36" i="2"/>
  <c r="O36" i="2"/>
  <c r="P36" i="2"/>
  <c r="I36" i="2"/>
  <c r="S36" i="2"/>
  <c r="T36" i="2"/>
  <c r="U36" i="2"/>
  <c r="X36" i="2"/>
  <c r="J37" i="2"/>
  <c r="K37" i="2"/>
  <c r="R37" i="2"/>
  <c r="L37" i="2"/>
  <c r="M37" i="2"/>
  <c r="N37" i="2"/>
  <c r="O37" i="2"/>
  <c r="P37" i="2"/>
  <c r="I37" i="2"/>
  <c r="Q37" i="2"/>
  <c r="T37" i="2"/>
  <c r="U37" i="2"/>
  <c r="V37" i="2"/>
  <c r="J38" i="2"/>
  <c r="K38" i="2"/>
  <c r="R38" i="2"/>
  <c r="L38" i="2"/>
  <c r="M38" i="2"/>
  <c r="N38" i="2"/>
  <c r="O38" i="2"/>
  <c r="P38" i="2"/>
  <c r="I38" i="2"/>
  <c r="Q38" i="2"/>
  <c r="T38" i="2"/>
  <c r="U38" i="2"/>
  <c r="V38" i="2"/>
  <c r="J39" i="2"/>
  <c r="K39" i="2"/>
  <c r="R39" i="2"/>
  <c r="L39" i="2"/>
  <c r="M39" i="2"/>
  <c r="N39" i="2"/>
  <c r="O39" i="2"/>
  <c r="P39" i="2"/>
  <c r="I39" i="2"/>
  <c r="S39" i="2"/>
  <c r="T39" i="2"/>
  <c r="U39" i="2"/>
  <c r="W39" i="2"/>
  <c r="J40" i="2"/>
  <c r="K40" i="2"/>
  <c r="R40" i="2"/>
  <c r="L40" i="2"/>
  <c r="M40" i="2"/>
  <c r="N40" i="2"/>
  <c r="O40" i="2"/>
  <c r="P40" i="2"/>
  <c r="I40" i="2"/>
  <c r="S40" i="2"/>
  <c r="T40" i="2"/>
  <c r="U40" i="2"/>
  <c r="X40" i="2"/>
  <c r="J41" i="2"/>
  <c r="K41" i="2"/>
  <c r="R41" i="2"/>
  <c r="L41" i="2"/>
  <c r="M41" i="2"/>
  <c r="N41" i="2"/>
  <c r="O41" i="2"/>
  <c r="P41" i="2"/>
  <c r="I41" i="2"/>
  <c r="Q41" i="2"/>
  <c r="T41" i="2"/>
  <c r="U41" i="2"/>
  <c r="V41" i="2"/>
  <c r="J42" i="2"/>
  <c r="K42" i="2"/>
  <c r="R42" i="2"/>
  <c r="L42" i="2"/>
  <c r="M42" i="2"/>
  <c r="N42" i="2"/>
  <c r="O42" i="2"/>
  <c r="P42" i="2"/>
  <c r="I42" i="2"/>
  <c r="Q42" i="2"/>
  <c r="T42" i="2"/>
  <c r="U42" i="2"/>
  <c r="V42" i="2"/>
  <c r="J43" i="2"/>
  <c r="K43" i="2"/>
  <c r="R43" i="2"/>
  <c r="L43" i="2"/>
  <c r="M43" i="2"/>
  <c r="N43" i="2"/>
  <c r="O43" i="2"/>
  <c r="P43" i="2"/>
  <c r="I43" i="2"/>
  <c r="S43" i="2"/>
  <c r="T43" i="2"/>
  <c r="U43" i="2"/>
  <c r="W43" i="2"/>
  <c r="J44" i="2"/>
  <c r="K44" i="2"/>
  <c r="R44" i="2"/>
  <c r="L44" i="2"/>
  <c r="M44" i="2"/>
  <c r="N44" i="2"/>
  <c r="O44" i="2"/>
  <c r="P44" i="2"/>
  <c r="I44" i="2"/>
  <c r="S44" i="2"/>
  <c r="T44" i="2"/>
  <c r="U44" i="2"/>
  <c r="X44" i="2"/>
  <c r="J45" i="2"/>
  <c r="K45" i="2"/>
  <c r="R45" i="2"/>
  <c r="L45" i="2"/>
  <c r="M45" i="2"/>
  <c r="N45" i="2"/>
  <c r="O45" i="2"/>
  <c r="P45" i="2"/>
  <c r="I45" i="2"/>
  <c r="Q45" i="2"/>
  <c r="T45" i="2"/>
  <c r="U45" i="2"/>
  <c r="X45" i="2"/>
  <c r="J46" i="2"/>
  <c r="K46" i="2"/>
  <c r="R46" i="2"/>
  <c r="L46" i="2"/>
  <c r="M46" i="2"/>
  <c r="N46" i="2"/>
  <c r="O46" i="2"/>
  <c r="P46" i="2"/>
  <c r="I46" i="2"/>
  <c r="Q46" i="2"/>
  <c r="T46" i="2"/>
  <c r="U46" i="2"/>
  <c r="V46" i="2"/>
  <c r="J47" i="2"/>
  <c r="K47" i="2"/>
  <c r="R47" i="2"/>
  <c r="L47" i="2"/>
  <c r="M47" i="2"/>
  <c r="N47" i="2"/>
  <c r="O47" i="2"/>
  <c r="P47" i="2"/>
  <c r="I47" i="2"/>
  <c r="S47" i="2"/>
  <c r="T47" i="2"/>
  <c r="U47" i="2"/>
  <c r="W47" i="2"/>
  <c r="J48" i="2"/>
  <c r="K48" i="2"/>
  <c r="R48" i="2"/>
  <c r="L48" i="2"/>
  <c r="M48" i="2"/>
  <c r="N48" i="2"/>
  <c r="O48" i="2"/>
  <c r="P48" i="2"/>
  <c r="I48" i="2"/>
  <c r="S48" i="2"/>
  <c r="T48" i="2"/>
  <c r="U48" i="2"/>
  <c r="X48" i="2"/>
  <c r="J49" i="2"/>
  <c r="K49" i="2"/>
  <c r="R49" i="2"/>
  <c r="L49" i="2"/>
  <c r="M49" i="2"/>
  <c r="N49" i="2"/>
  <c r="O49" i="2"/>
  <c r="P49" i="2"/>
  <c r="I49" i="2"/>
  <c r="Q49" i="2"/>
  <c r="T49" i="2"/>
  <c r="U49" i="2"/>
  <c r="V49" i="2"/>
  <c r="J50" i="2"/>
  <c r="K50" i="2"/>
  <c r="R50" i="2"/>
  <c r="L50" i="2"/>
  <c r="M50" i="2"/>
  <c r="N50" i="2"/>
  <c r="O50" i="2"/>
  <c r="P50" i="2"/>
  <c r="I50" i="2"/>
  <c r="Q50" i="2"/>
  <c r="T50" i="2"/>
  <c r="U50" i="2"/>
  <c r="V50" i="2"/>
  <c r="J51" i="2"/>
  <c r="K51" i="2"/>
  <c r="R51" i="2"/>
  <c r="L51" i="2"/>
  <c r="M51" i="2"/>
  <c r="N51" i="2"/>
  <c r="O51" i="2"/>
  <c r="P51" i="2"/>
  <c r="I51" i="2"/>
  <c r="S51" i="2"/>
  <c r="T51" i="2"/>
  <c r="U51" i="2"/>
  <c r="W51" i="2"/>
  <c r="J52" i="2"/>
  <c r="K52" i="2"/>
  <c r="R52" i="2"/>
  <c r="L52" i="2"/>
  <c r="M52" i="2"/>
  <c r="N52" i="2"/>
  <c r="O52" i="2"/>
  <c r="P52" i="2"/>
  <c r="I52" i="2"/>
  <c r="S52" i="2"/>
  <c r="T52" i="2"/>
  <c r="U52" i="2"/>
  <c r="X52" i="2"/>
  <c r="J53" i="2"/>
  <c r="K53" i="2"/>
  <c r="R53" i="2"/>
  <c r="L53" i="2"/>
  <c r="M53" i="2"/>
  <c r="N53" i="2"/>
  <c r="O53" i="2"/>
  <c r="P53" i="2"/>
  <c r="I53" i="2"/>
  <c r="Q53" i="2"/>
  <c r="T53" i="2"/>
  <c r="U53" i="2"/>
  <c r="V53" i="2"/>
  <c r="J54" i="2"/>
  <c r="K54" i="2"/>
  <c r="R54" i="2"/>
  <c r="L54" i="2"/>
  <c r="M54" i="2"/>
  <c r="N54" i="2"/>
  <c r="O54" i="2"/>
  <c r="P54" i="2"/>
  <c r="I54" i="2"/>
  <c r="Q54" i="2"/>
  <c r="T54" i="2"/>
  <c r="U54" i="2"/>
  <c r="V54" i="2"/>
  <c r="J55" i="2"/>
  <c r="K55" i="2"/>
  <c r="R55" i="2"/>
  <c r="L55" i="2"/>
  <c r="M55" i="2"/>
  <c r="N55" i="2"/>
  <c r="O55" i="2"/>
  <c r="P55" i="2"/>
  <c r="I55" i="2"/>
  <c r="S55" i="2"/>
  <c r="T55" i="2"/>
  <c r="U55" i="2"/>
  <c r="W55" i="2"/>
  <c r="J56" i="2"/>
  <c r="K56" i="2"/>
  <c r="R56" i="2"/>
  <c r="L56" i="2"/>
  <c r="M56" i="2"/>
  <c r="N56" i="2"/>
  <c r="O56" i="2"/>
  <c r="P56" i="2"/>
  <c r="I56" i="2"/>
  <c r="S56" i="2"/>
  <c r="T56" i="2"/>
  <c r="U56" i="2"/>
  <c r="X56" i="2"/>
  <c r="J57" i="2"/>
  <c r="K57" i="2"/>
  <c r="R57" i="2"/>
  <c r="L57" i="2"/>
  <c r="M57" i="2"/>
  <c r="N57" i="2"/>
  <c r="O57" i="2"/>
  <c r="P57" i="2"/>
  <c r="I57" i="2"/>
  <c r="Q57" i="2"/>
  <c r="T57" i="2"/>
  <c r="U57" i="2"/>
  <c r="V57" i="2"/>
  <c r="J58" i="2"/>
  <c r="K58" i="2"/>
  <c r="R58" i="2"/>
  <c r="L58" i="2"/>
  <c r="M58" i="2"/>
  <c r="N58" i="2"/>
  <c r="O58" i="2"/>
  <c r="P58" i="2"/>
  <c r="I58" i="2"/>
  <c r="Q58" i="2"/>
  <c r="T58" i="2"/>
  <c r="U58" i="2"/>
  <c r="V58" i="2"/>
  <c r="J59" i="2"/>
  <c r="K59" i="2"/>
  <c r="R59" i="2"/>
  <c r="L59" i="2"/>
  <c r="M59" i="2"/>
  <c r="N59" i="2"/>
  <c r="O59" i="2"/>
  <c r="P59" i="2"/>
  <c r="I59" i="2"/>
  <c r="S59" i="2"/>
  <c r="T59" i="2"/>
  <c r="U59" i="2"/>
  <c r="W59" i="2"/>
  <c r="J60" i="2"/>
  <c r="K60" i="2"/>
  <c r="R60" i="2"/>
  <c r="L60" i="2"/>
  <c r="M60" i="2"/>
  <c r="N60" i="2"/>
  <c r="O60" i="2"/>
  <c r="P60" i="2"/>
  <c r="I60" i="2"/>
  <c r="S60" i="2"/>
  <c r="T60" i="2"/>
  <c r="U60" i="2"/>
  <c r="X60" i="2"/>
  <c r="J61" i="2"/>
  <c r="K61" i="2"/>
  <c r="R61" i="2"/>
  <c r="L61" i="2"/>
  <c r="M61" i="2"/>
  <c r="N61" i="2"/>
  <c r="O61" i="2"/>
  <c r="P61" i="2"/>
  <c r="I61" i="2"/>
  <c r="Q61" i="2"/>
  <c r="T61" i="2"/>
  <c r="U61" i="2"/>
  <c r="W61" i="2"/>
  <c r="J62" i="2"/>
  <c r="K62" i="2"/>
  <c r="R62" i="2"/>
  <c r="L62" i="2"/>
  <c r="M62" i="2"/>
  <c r="N62" i="2"/>
  <c r="O62" i="2"/>
  <c r="P62" i="2"/>
  <c r="I62" i="2"/>
  <c r="Q62" i="2"/>
  <c r="T62" i="2"/>
  <c r="U62" i="2"/>
  <c r="V62" i="2"/>
  <c r="J63" i="2"/>
  <c r="K63" i="2"/>
  <c r="R63" i="2"/>
  <c r="L63" i="2"/>
  <c r="M63" i="2"/>
  <c r="N63" i="2"/>
  <c r="O63" i="2"/>
  <c r="P63" i="2"/>
  <c r="I63" i="2"/>
  <c r="S63" i="2"/>
  <c r="T63" i="2"/>
  <c r="U63" i="2"/>
  <c r="W63" i="2"/>
  <c r="J64" i="2"/>
  <c r="K64" i="2"/>
  <c r="R64" i="2"/>
  <c r="L64" i="2"/>
  <c r="M64" i="2"/>
  <c r="N64" i="2"/>
  <c r="O64" i="2"/>
  <c r="P64" i="2"/>
  <c r="I64" i="2"/>
  <c r="S64" i="2"/>
  <c r="T64" i="2"/>
  <c r="U64" i="2"/>
  <c r="X64" i="2"/>
  <c r="J65" i="2"/>
  <c r="K65" i="2"/>
  <c r="R65" i="2"/>
  <c r="L65" i="2"/>
  <c r="M65" i="2"/>
  <c r="N65" i="2"/>
  <c r="O65" i="2"/>
  <c r="P65" i="2"/>
  <c r="I65" i="2"/>
  <c r="Q65" i="2"/>
  <c r="T65" i="2"/>
  <c r="U65" i="2"/>
  <c r="V65" i="2"/>
  <c r="J66" i="2"/>
  <c r="K66" i="2"/>
  <c r="R66" i="2"/>
  <c r="L66" i="2"/>
  <c r="M66" i="2"/>
  <c r="N66" i="2"/>
  <c r="O66" i="2"/>
  <c r="P66" i="2"/>
  <c r="I66" i="2"/>
  <c r="Q66" i="2"/>
  <c r="T66" i="2"/>
  <c r="U66" i="2"/>
  <c r="V66" i="2"/>
  <c r="J67" i="2"/>
  <c r="K67" i="2"/>
  <c r="R67" i="2"/>
  <c r="L67" i="2"/>
  <c r="M67" i="2"/>
  <c r="N67" i="2"/>
  <c r="O67" i="2"/>
  <c r="P67" i="2"/>
  <c r="I67" i="2"/>
  <c r="S67" i="2"/>
  <c r="T67" i="2"/>
  <c r="U67" i="2"/>
  <c r="W67" i="2"/>
  <c r="J68" i="2"/>
  <c r="K68" i="2"/>
  <c r="R68" i="2"/>
  <c r="L68" i="2"/>
  <c r="M68" i="2"/>
  <c r="N68" i="2"/>
  <c r="O68" i="2"/>
  <c r="P68" i="2"/>
  <c r="I68" i="2"/>
  <c r="S68" i="2"/>
  <c r="T68" i="2"/>
  <c r="U68" i="2"/>
  <c r="X68" i="2"/>
  <c r="J69" i="2"/>
  <c r="K69" i="2"/>
  <c r="R69" i="2"/>
  <c r="L69" i="2"/>
  <c r="M69" i="2"/>
  <c r="N69" i="2"/>
  <c r="O69" i="2"/>
  <c r="P69" i="2"/>
  <c r="I69" i="2"/>
  <c r="Q69" i="2"/>
  <c r="T69" i="2"/>
  <c r="U69" i="2"/>
  <c r="X69" i="2"/>
  <c r="J70" i="2"/>
  <c r="K70" i="2"/>
  <c r="R70" i="2"/>
  <c r="L70" i="2"/>
  <c r="M70" i="2"/>
  <c r="N70" i="2"/>
  <c r="O70" i="2"/>
  <c r="P70" i="2"/>
  <c r="I70" i="2"/>
  <c r="S70" i="2"/>
  <c r="T70" i="2"/>
  <c r="U70" i="2"/>
  <c r="V70"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T21" i="2"/>
  <c r="U21" i="2"/>
  <c r="M21" i="2"/>
  <c r="L21" i="2"/>
  <c r="K21" i="2"/>
  <c r="J21" i="2"/>
  <c r="E21" i="2"/>
  <c r="C178" i="3"/>
  <c r="P178" i="3"/>
  <c r="C177" i="3"/>
  <c r="P177" i="3"/>
  <c r="C170" i="3"/>
  <c r="C47" i="3"/>
  <c r="C48" i="3"/>
  <c r="C49" i="3"/>
  <c r="C50" i="3"/>
  <c r="C51" i="3"/>
  <c r="C52" i="3"/>
  <c r="C53" i="3"/>
  <c r="C54" i="3"/>
  <c r="C55" i="3"/>
  <c r="C56" i="3"/>
  <c r="C57" i="3"/>
  <c r="C58" i="3"/>
  <c r="C59" i="3"/>
  <c r="C60" i="3"/>
  <c r="C61" i="3"/>
  <c r="C62" i="3"/>
  <c r="C63" i="3"/>
  <c r="C64" i="3"/>
  <c r="C113" i="3"/>
  <c r="O21" i="2"/>
  <c r="N23" i="2"/>
  <c r="P23" i="2"/>
  <c r="I23" i="2"/>
  <c r="Q23" i="2"/>
  <c r="M23" i="2"/>
  <c r="N21" i="2"/>
  <c r="W56" i="2"/>
  <c r="W45" i="2"/>
  <c r="X37" i="2"/>
  <c r="Q36" i="2"/>
  <c r="X35" i="2"/>
  <c r="V61" i="2"/>
  <c r="Q68" i="2"/>
  <c r="X67" i="2"/>
  <c r="X61" i="2"/>
  <c r="W41" i="2"/>
  <c r="V39" i="2"/>
  <c r="V29" i="2"/>
  <c r="X57" i="2"/>
  <c r="X29" i="2"/>
  <c r="X41" i="2"/>
  <c r="W21" i="2"/>
  <c r="X21" i="2"/>
  <c r="Q70" i="2"/>
  <c r="W57" i="2"/>
  <c r="V45" i="2"/>
  <c r="X39" i="2"/>
  <c r="S22" i="2"/>
  <c r="X55" i="2"/>
  <c r="V21" i="2"/>
  <c r="V55" i="2"/>
  <c r="X53" i="2"/>
  <c r="Q52" i="2"/>
  <c r="X51" i="2"/>
  <c r="W40" i="2"/>
  <c r="W69" i="2"/>
  <c r="W68" i="2"/>
  <c r="V67" i="2"/>
  <c r="X65" i="2"/>
  <c r="Q64" i="2"/>
  <c r="X63" i="2"/>
  <c r="W53" i="2"/>
  <c r="W52" i="2"/>
  <c r="V51" i="2"/>
  <c r="X49" i="2"/>
  <c r="Q48" i="2"/>
  <c r="X47" i="2"/>
  <c r="W37" i="2"/>
  <c r="W36" i="2"/>
  <c r="V35" i="2"/>
  <c r="X33" i="2"/>
  <c r="Q32" i="2"/>
  <c r="X31" i="2"/>
  <c r="V69" i="2"/>
  <c r="W65" i="2"/>
  <c r="W64" i="2"/>
  <c r="V63" i="2"/>
  <c r="Q60" i="2"/>
  <c r="X59" i="2"/>
  <c r="W49" i="2"/>
  <c r="W48" i="2"/>
  <c r="V47" i="2"/>
  <c r="Q44" i="2"/>
  <c r="X43" i="2"/>
  <c r="W33" i="2"/>
  <c r="W32" i="2"/>
  <c r="V31" i="2"/>
  <c r="Q28" i="2"/>
  <c r="X27" i="2"/>
  <c r="W60" i="2"/>
  <c r="V59" i="2"/>
  <c r="Q56" i="2"/>
  <c r="W44" i="2"/>
  <c r="V43" i="2"/>
  <c r="Q40" i="2"/>
  <c r="W28" i="2"/>
  <c r="V27" i="2"/>
  <c r="W23" i="2"/>
  <c r="X25" i="2"/>
  <c r="V23" i="2"/>
  <c r="W25" i="2"/>
  <c r="S24" i="2"/>
  <c r="V25" i="2"/>
  <c r="W24" i="2"/>
  <c r="S66" i="2"/>
  <c r="S62" i="2"/>
  <c r="S58" i="2"/>
  <c r="S54" i="2"/>
  <c r="S50" i="2"/>
  <c r="S46" i="2"/>
  <c r="S42" i="2"/>
  <c r="S38" i="2"/>
  <c r="S34" i="2"/>
  <c r="S30" i="2"/>
  <c r="S26" i="2"/>
  <c r="S23" i="2"/>
  <c r="X70" i="2"/>
  <c r="S69" i="2"/>
  <c r="V68" i="2"/>
  <c r="Q67" i="2"/>
  <c r="X66" i="2"/>
  <c r="S65" i="2"/>
  <c r="V64" i="2"/>
  <c r="Q63" i="2"/>
  <c r="X62" i="2"/>
  <c r="S61" i="2"/>
  <c r="V60" i="2"/>
  <c r="Q59" i="2"/>
  <c r="X58" i="2"/>
  <c r="S57" i="2"/>
  <c r="V56" i="2"/>
  <c r="Q55" i="2"/>
  <c r="X54" i="2"/>
  <c r="S53" i="2"/>
  <c r="V52" i="2"/>
  <c r="Q51" i="2"/>
  <c r="X50" i="2"/>
  <c r="S49" i="2"/>
  <c r="V48" i="2"/>
  <c r="Q47" i="2"/>
  <c r="X46" i="2"/>
  <c r="S45" i="2"/>
  <c r="V44" i="2"/>
  <c r="Q43" i="2"/>
  <c r="X42" i="2"/>
  <c r="S41" i="2"/>
  <c r="V40" i="2"/>
  <c r="Q39" i="2"/>
  <c r="X38" i="2"/>
  <c r="S37" i="2"/>
  <c r="V36" i="2"/>
  <c r="Q35" i="2"/>
  <c r="X34" i="2"/>
  <c r="S33" i="2"/>
  <c r="V32" i="2"/>
  <c r="Q31" i="2"/>
  <c r="X30" i="2"/>
  <c r="S29" i="2"/>
  <c r="V28" i="2"/>
  <c r="Q27" i="2"/>
  <c r="X26" i="2"/>
  <c r="I25" i="2"/>
  <c r="S25" i="2"/>
  <c r="V24" i="2"/>
  <c r="X22" i="2"/>
  <c r="W70" i="2"/>
  <c r="W66" i="2"/>
  <c r="W58" i="2"/>
  <c r="W54" i="2"/>
  <c r="W50" i="2"/>
  <c r="W46" i="2"/>
  <c r="W42" i="2"/>
  <c r="W38" i="2"/>
  <c r="W34" i="2"/>
  <c r="W30" i="2"/>
  <c r="W26" i="2"/>
  <c r="W22" i="2"/>
  <c r="W62" i="2"/>
  <c r="AS21" i="1"/>
  <c r="AP21" i="1"/>
  <c r="AS22" i="1"/>
  <c r="AP22" i="1"/>
  <c r="AS23" i="1"/>
  <c r="AP23" i="1"/>
  <c r="AS24" i="1"/>
  <c r="AP24" i="1"/>
  <c r="AS25" i="1"/>
  <c r="AP25" i="1"/>
  <c r="AS26" i="1"/>
  <c r="AP26" i="1"/>
  <c r="AS27" i="1"/>
  <c r="AP27" i="1"/>
  <c r="AS28" i="1"/>
  <c r="AP28" i="1"/>
  <c r="AS29" i="1"/>
  <c r="AP29" i="1"/>
  <c r="AS30" i="1"/>
  <c r="AP30" i="1"/>
  <c r="AS31" i="1"/>
  <c r="AP31" i="1"/>
  <c r="AS32" i="1"/>
  <c r="AP32" i="1"/>
  <c r="AS33" i="1"/>
  <c r="AP33" i="1"/>
  <c r="AS34" i="1"/>
  <c r="AP34" i="1"/>
  <c r="AS35" i="1"/>
  <c r="AP35" i="1"/>
  <c r="AS36" i="1"/>
  <c r="AP36" i="1"/>
  <c r="AS37" i="1"/>
  <c r="AP37" i="1"/>
  <c r="AS38" i="1"/>
  <c r="AP38" i="1"/>
  <c r="AS39" i="1"/>
  <c r="AP39" i="1"/>
  <c r="AS40" i="1"/>
  <c r="AP40" i="1"/>
  <c r="AS41" i="1"/>
  <c r="AP41" i="1"/>
  <c r="AS42" i="1"/>
  <c r="AP42" i="1"/>
  <c r="AS43" i="1"/>
  <c r="AP43" i="1"/>
  <c r="AS44" i="1"/>
  <c r="AP44" i="1"/>
  <c r="AS45" i="1"/>
  <c r="AP45" i="1"/>
  <c r="AS46" i="1"/>
  <c r="AP46" i="1"/>
  <c r="AS47" i="1"/>
  <c r="AP47" i="1"/>
  <c r="AS48" i="1"/>
  <c r="AP48" i="1"/>
  <c r="AS49" i="1"/>
  <c r="AP49" i="1"/>
  <c r="AS50" i="1"/>
  <c r="AP50" i="1"/>
  <c r="AS51" i="1"/>
  <c r="AP51" i="1"/>
  <c r="AS52" i="1"/>
  <c r="AP52" i="1"/>
  <c r="AS53" i="1"/>
  <c r="AP53" i="1"/>
  <c r="AS54" i="1"/>
  <c r="AP54" i="1"/>
  <c r="AS55" i="1"/>
  <c r="AP55" i="1"/>
  <c r="AS56" i="1"/>
  <c r="AP56" i="1"/>
  <c r="AS57" i="1"/>
  <c r="AP57" i="1"/>
  <c r="AS58" i="1"/>
  <c r="AP58" i="1"/>
  <c r="AS59" i="1"/>
  <c r="AP59" i="1"/>
  <c r="AS60" i="1"/>
  <c r="AP60" i="1"/>
  <c r="AS61" i="1"/>
  <c r="AP61" i="1"/>
  <c r="AS62" i="1"/>
  <c r="AP62" i="1"/>
  <c r="AS63" i="1"/>
  <c r="AP63" i="1"/>
  <c r="AS64" i="1"/>
  <c r="AP64" i="1"/>
  <c r="AS65" i="1"/>
  <c r="AP65" i="1"/>
  <c r="AS66" i="1"/>
  <c r="AP66" i="1"/>
  <c r="AS67" i="1"/>
  <c r="AP67" i="1"/>
  <c r="AS68" i="1"/>
  <c r="AP68" i="1"/>
  <c r="AS69" i="1"/>
  <c r="AP69" i="1"/>
  <c r="AS20" i="1"/>
  <c r="AP20" i="1"/>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N15" i="5"/>
  <c r="AK26" i="1"/>
  <c r="AK27" i="1"/>
  <c r="S17" i="5" s="1"/>
  <c r="AK28" i="1"/>
  <c r="AK30" i="1"/>
  <c r="AK31" i="1"/>
  <c r="S31" i="1"/>
  <c r="AD31" i="1"/>
  <c r="AF31" i="1"/>
  <c r="AH31" i="1"/>
  <c r="AI31" i="1"/>
  <c r="AO31" i="1"/>
  <c r="T21" i="5" s="1"/>
  <c r="S32" i="1"/>
  <c r="AD32" i="1"/>
  <c r="AF32" i="1"/>
  <c r="AH32" i="1"/>
  <c r="AI32" i="1"/>
  <c r="AK38" i="1"/>
  <c r="S28" i="5" s="1"/>
  <c r="AK39" i="1"/>
  <c r="S29" i="5" s="1"/>
  <c r="AK40" i="1"/>
  <c r="S30" i="5" s="1"/>
  <c r="AK45" i="1"/>
  <c r="AO45" i="1" s="1"/>
  <c r="T35" i="5" s="1"/>
  <c r="S45" i="1"/>
  <c r="AD45" i="1"/>
  <c r="AF45" i="1"/>
  <c r="AH45" i="1"/>
  <c r="AI45" i="1"/>
  <c r="AK46" i="1"/>
  <c r="AK49" i="1"/>
  <c r="S39" i="5" s="1"/>
  <c r="AK51" i="1"/>
  <c r="S41" i="5" s="1"/>
  <c r="AK53" i="1"/>
  <c r="AK54" i="1"/>
  <c r="AO54" i="1" s="1"/>
  <c r="T44" i="5" s="1"/>
  <c r="S54" i="1"/>
  <c r="AD54" i="1"/>
  <c r="AF54" i="1"/>
  <c r="AH54" i="1"/>
  <c r="AI54" i="1"/>
  <c r="AK56" i="1"/>
  <c r="S46" i="5" s="1"/>
  <c r="AK57" i="1"/>
  <c r="S47" i="5" s="1"/>
  <c r="AK58" i="1"/>
  <c r="AK59" i="1"/>
  <c r="AO59" i="1" s="1"/>
  <c r="T49" i="5" s="1"/>
  <c r="S59" i="1"/>
  <c r="AD59" i="1"/>
  <c r="AF59" i="1"/>
  <c r="AH59" i="1"/>
  <c r="AI59" i="1"/>
  <c r="AK60" i="1"/>
  <c r="AK66" i="1"/>
  <c r="AK67" i="1"/>
  <c r="S67" i="1"/>
  <c r="AD67" i="1"/>
  <c r="AF67" i="1"/>
  <c r="AH67" i="1"/>
  <c r="AI67" i="1"/>
  <c r="AO67" i="1"/>
  <c r="T57" i="5" s="1"/>
  <c r="P184" i="3"/>
  <c r="P183" i="3"/>
  <c r="P182" i="3"/>
  <c r="P181" i="3"/>
  <c r="P180" i="3"/>
  <c r="P179" i="3"/>
  <c r="P176" i="3"/>
  <c r="P175" i="3"/>
  <c r="P174" i="3"/>
  <c r="P173" i="3"/>
  <c r="P172" i="3"/>
  <c r="P171"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24" i="3"/>
  <c r="P123" i="3"/>
  <c r="P122" i="3"/>
  <c r="P121" i="3"/>
  <c r="P120" i="3"/>
  <c r="P119" i="3"/>
  <c r="P117" i="3"/>
  <c r="P116" i="3"/>
  <c r="P115" i="3"/>
  <c r="C181" i="3"/>
  <c r="C18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23" i="3"/>
  <c r="C114" i="3"/>
  <c r="C118" i="3"/>
  <c r="C119" i="3"/>
  <c r="C120" i="3"/>
  <c r="C121" i="3"/>
  <c r="C122" i="3"/>
  <c r="C124" i="3"/>
  <c r="C125" i="3"/>
  <c r="C126" i="3"/>
  <c r="C127" i="3"/>
  <c r="C128" i="3"/>
  <c r="C129" i="3"/>
  <c r="C130" i="3"/>
  <c r="C131" i="3"/>
  <c r="C171" i="3"/>
  <c r="C172" i="3"/>
  <c r="C173" i="3"/>
  <c r="C174" i="3"/>
  <c r="C175" i="3"/>
  <c r="C176" i="3"/>
  <c r="C179" i="3"/>
  <c r="C182" i="3"/>
  <c r="C183" i="3"/>
  <c r="C184" i="3"/>
  <c r="C117" i="4"/>
  <c r="C33" i="4"/>
  <c r="C32" i="4"/>
  <c r="C31" i="4"/>
  <c r="C30" i="4"/>
  <c r="C29" i="4"/>
  <c r="C25" i="4"/>
  <c r="C24" i="4"/>
  <c r="C23" i="4"/>
  <c r="C22" i="4"/>
  <c r="C21" i="4"/>
  <c r="C20" i="4"/>
  <c r="C19" i="4"/>
  <c r="C18" i="4"/>
  <c r="C15" i="4"/>
  <c r="C10" i="4"/>
  <c r="C8" i="4"/>
  <c r="C6" i="4"/>
  <c r="C90" i="4"/>
  <c r="C89" i="4"/>
  <c r="C88" i="4"/>
  <c r="C87" i="4"/>
  <c r="C86" i="4"/>
  <c r="C85" i="4"/>
  <c r="C69" i="4"/>
  <c r="C68" i="4"/>
  <c r="C67" i="4"/>
  <c r="C66" i="4"/>
  <c r="C65" i="4"/>
  <c r="C64" i="4"/>
  <c r="C63" i="4"/>
  <c r="C62" i="4"/>
  <c r="C61" i="4"/>
  <c r="C60" i="4"/>
  <c r="C59" i="4"/>
  <c r="C58" i="4"/>
  <c r="C56" i="4"/>
  <c r="C55" i="4"/>
  <c r="C54" i="4"/>
  <c r="C53" i="4"/>
  <c r="C52" i="4"/>
  <c r="C28" i="4"/>
  <c r="C27" i="4"/>
  <c r="C26" i="4"/>
  <c r="C17" i="4"/>
  <c r="C16" i="4"/>
  <c r="C14" i="4"/>
  <c r="C13" i="4"/>
  <c r="C12" i="4"/>
  <c r="C11" i="4"/>
  <c r="C9" i="4"/>
  <c r="C7" i="4"/>
  <c r="C5" i="4"/>
  <c r="AJ14" i="1"/>
  <c r="AJ13" i="1"/>
  <c r="AJ12" i="1"/>
  <c r="AJ11" i="1"/>
  <c r="AJ10" i="1"/>
  <c r="AJ9" i="1"/>
  <c r="AJ8" i="1"/>
  <c r="AJ7" i="1"/>
  <c r="AJ6" i="1"/>
  <c r="S5" i="5"/>
  <c r="M7" i="5"/>
  <c r="M6" i="5"/>
  <c r="M5" i="5"/>
  <c r="M4" i="5"/>
  <c r="M3" i="5"/>
  <c r="L7" i="5"/>
  <c r="L6" i="5"/>
  <c r="L5" i="5"/>
  <c r="L4" i="5"/>
  <c r="L3" i="5"/>
  <c r="R5" i="5"/>
  <c r="R125" i="3"/>
  <c r="R124" i="3"/>
  <c r="R122" i="3"/>
  <c r="P131" i="3"/>
  <c r="P130" i="3"/>
  <c r="P129" i="3"/>
  <c r="P128" i="3"/>
  <c r="P127" i="3"/>
  <c r="P126" i="3"/>
  <c r="P125" i="3"/>
  <c r="P118" i="3"/>
  <c r="I21" i="2"/>
  <c r="R21" i="2"/>
  <c r="L15" i="2"/>
  <c r="Q25" i="2"/>
  <c r="R121" i="3"/>
  <c r="R120" i="3"/>
  <c r="R119" i="3"/>
  <c r="R118" i="3"/>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J1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E1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G59" i="5"/>
  <c r="H59" i="5"/>
  <c r="G58" i="5"/>
  <c r="H58" i="5"/>
  <c r="G57" i="5"/>
  <c r="H57" i="5"/>
  <c r="G56" i="5"/>
  <c r="H56" i="5"/>
  <c r="G55" i="5"/>
  <c r="H55" i="5"/>
  <c r="G54" i="5"/>
  <c r="H54" i="5"/>
  <c r="G53" i="5"/>
  <c r="H53" i="5"/>
  <c r="G52" i="5"/>
  <c r="H52" i="5"/>
  <c r="G51" i="5"/>
  <c r="H51" i="5"/>
  <c r="G50" i="5"/>
  <c r="H50" i="5"/>
  <c r="G49" i="5"/>
  <c r="H49" i="5"/>
  <c r="G48" i="5"/>
  <c r="H48" i="5"/>
  <c r="G47" i="5"/>
  <c r="H47" i="5"/>
  <c r="G46" i="5"/>
  <c r="H46" i="5"/>
  <c r="G45" i="5"/>
  <c r="H45" i="5"/>
  <c r="G44" i="5"/>
  <c r="H44" i="5"/>
  <c r="G43" i="5"/>
  <c r="H43" i="5"/>
  <c r="G42" i="5"/>
  <c r="H42" i="5"/>
  <c r="G41" i="5"/>
  <c r="H41" i="5"/>
  <c r="G40" i="5"/>
  <c r="H40" i="5"/>
  <c r="G39" i="5"/>
  <c r="H39" i="5"/>
  <c r="G38" i="5"/>
  <c r="H38" i="5"/>
  <c r="G37" i="5"/>
  <c r="H37" i="5"/>
  <c r="G36" i="5"/>
  <c r="H36" i="5"/>
  <c r="G35" i="5"/>
  <c r="H35" i="5"/>
  <c r="G34" i="5"/>
  <c r="H34" i="5"/>
  <c r="G33" i="5"/>
  <c r="H33" i="5"/>
  <c r="G32" i="5"/>
  <c r="H32" i="5"/>
  <c r="G31" i="5"/>
  <c r="H31" i="5"/>
  <c r="G30" i="5"/>
  <c r="H30" i="5"/>
  <c r="G29" i="5"/>
  <c r="H29" i="5"/>
  <c r="G28" i="5"/>
  <c r="H28" i="5"/>
  <c r="G27" i="5"/>
  <c r="H27" i="5"/>
  <c r="G26" i="5"/>
  <c r="H26" i="5"/>
  <c r="G25" i="5"/>
  <c r="H25" i="5"/>
  <c r="G24" i="5"/>
  <c r="H24" i="5"/>
  <c r="G23" i="5"/>
  <c r="H23" i="5"/>
  <c r="G22" i="5"/>
  <c r="H22" i="5"/>
  <c r="G21" i="5"/>
  <c r="H21" i="5"/>
  <c r="G20" i="5"/>
  <c r="H20" i="5"/>
  <c r="G19" i="5"/>
  <c r="H19" i="5"/>
  <c r="G18" i="5"/>
  <c r="H18" i="5"/>
  <c r="G17" i="5"/>
  <c r="H17" i="5"/>
  <c r="G16" i="5"/>
  <c r="H16" i="5"/>
  <c r="G15" i="5"/>
  <c r="H15" i="5"/>
  <c r="G14" i="5"/>
  <c r="H14" i="5"/>
  <c r="G13" i="5"/>
  <c r="H13" i="5"/>
  <c r="G12" i="5"/>
  <c r="H12" i="5"/>
  <c r="G11" i="5"/>
  <c r="H11" i="5"/>
  <c r="G10" i="5"/>
  <c r="H10" i="5"/>
  <c r="F1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C1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D59" i="5"/>
  <c r="A59" i="5"/>
  <c r="D58" i="5"/>
  <c r="A58" i="5"/>
  <c r="D57" i="5"/>
  <c r="A57" i="5"/>
  <c r="D56" i="5"/>
  <c r="A56" i="5"/>
  <c r="D55" i="5"/>
  <c r="A55" i="5"/>
  <c r="D54" i="5"/>
  <c r="A54" i="5"/>
  <c r="D53" i="5"/>
  <c r="A53" i="5"/>
  <c r="D52" i="5"/>
  <c r="A52" i="5"/>
  <c r="D51" i="5"/>
  <c r="A51" i="5"/>
  <c r="D50" i="5"/>
  <c r="A50" i="5"/>
  <c r="D49" i="5"/>
  <c r="A49" i="5"/>
  <c r="D48" i="5"/>
  <c r="A48" i="5"/>
  <c r="D47" i="5"/>
  <c r="A47" i="5"/>
  <c r="D46" i="5"/>
  <c r="A46" i="5"/>
  <c r="D45" i="5"/>
  <c r="A45" i="5"/>
  <c r="D44" i="5"/>
  <c r="A44" i="5"/>
  <c r="D43" i="5"/>
  <c r="A43" i="5"/>
  <c r="D42" i="5"/>
  <c r="A42" i="5"/>
  <c r="D41" i="5"/>
  <c r="A41" i="5"/>
  <c r="D40" i="5"/>
  <c r="A40" i="5"/>
  <c r="D39" i="5"/>
  <c r="A39" i="5"/>
  <c r="S7" i="5"/>
  <c r="S6" i="5"/>
  <c r="R7" i="5"/>
  <c r="R6" i="5"/>
  <c r="S9" i="5"/>
  <c r="R9" i="5"/>
  <c r="Q9" i="5"/>
  <c r="P9" i="5"/>
  <c r="D38" i="5"/>
  <c r="D37" i="5"/>
  <c r="D36" i="5"/>
  <c r="D35" i="5"/>
  <c r="D34" i="5"/>
  <c r="D33" i="5"/>
  <c r="D32" i="5"/>
  <c r="D31" i="5"/>
  <c r="D30" i="5"/>
  <c r="D29" i="5"/>
  <c r="D28" i="5"/>
  <c r="D27" i="5"/>
  <c r="D26" i="5"/>
  <c r="D25" i="5"/>
  <c r="D24" i="5"/>
  <c r="D23" i="5"/>
  <c r="D22" i="5"/>
  <c r="D21" i="5"/>
  <c r="D20" i="5"/>
  <c r="D19" i="5"/>
  <c r="D18" i="5"/>
  <c r="D17" i="5"/>
  <c r="D16"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9" i="5"/>
  <c r="B9" i="5"/>
  <c r="C9" i="5"/>
  <c r="E9" i="5"/>
  <c r="F9" i="5"/>
  <c r="G9" i="5"/>
  <c r="H9" i="5"/>
  <c r="J9" i="5"/>
  <c r="K9" i="5"/>
  <c r="L9" i="5"/>
  <c r="M9" i="5"/>
  <c r="N9" i="5"/>
  <c r="O9" i="5"/>
  <c r="A10" i="5"/>
  <c r="AW107" i="1"/>
  <c r="AW106" i="1"/>
  <c r="AW105" i="1"/>
  <c r="AW104" i="1"/>
  <c r="AW103" i="1"/>
  <c r="AW102" i="1"/>
  <c r="AW101" i="1"/>
  <c r="AW100" i="1"/>
  <c r="AW99" i="1"/>
  <c r="AW98" i="1"/>
  <c r="AW97" i="1"/>
  <c r="AW96" i="1"/>
  <c r="AW95" i="1"/>
  <c r="S69" i="1"/>
  <c r="S68" i="1"/>
  <c r="S66" i="1"/>
  <c r="S65" i="1"/>
  <c r="S64" i="1"/>
  <c r="S63" i="1"/>
  <c r="S62" i="1"/>
  <c r="S61" i="1"/>
  <c r="S60" i="1"/>
  <c r="K50" i="5"/>
  <c r="S58" i="1"/>
  <c r="K48" i="5"/>
  <c r="S57" i="1"/>
  <c r="S56" i="1"/>
  <c r="V56" i="1"/>
  <c r="L46" i="5"/>
  <c r="S55" i="1"/>
  <c r="V54" i="1"/>
  <c r="L44" i="5"/>
  <c r="S53" i="1"/>
  <c r="S52" i="1"/>
  <c r="K42" i="5"/>
  <c r="S51" i="1"/>
  <c r="S50" i="1"/>
  <c r="S49" i="1"/>
  <c r="S48" i="1"/>
  <c r="V48" i="1"/>
  <c r="L38" i="5"/>
  <c r="S47" i="1"/>
  <c r="S46" i="1"/>
  <c r="S44" i="1"/>
  <c r="K34" i="5"/>
  <c r="S43" i="1"/>
  <c r="S42" i="1"/>
  <c r="K32" i="5"/>
  <c r="S41" i="1"/>
  <c r="S40" i="1"/>
  <c r="V40" i="1"/>
  <c r="S39" i="1"/>
  <c r="S38" i="1"/>
  <c r="V38" i="1"/>
  <c r="L28" i="5"/>
  <c r="S37" i="1"/>
  <c r="S36" i="1"/>
  <c r="K26" i="5"/>
  <c r="S35" i="1"/>
  <c r="S34" i="1"/>
  <c r="S33" i="1"/>
  <c r="V32" i="1"/>
  <c r="L22" i="5"/>
  <c r="S30" i="1"/>
  <c r="S29" i="1"/>
  <c r="S28" i="1"/>
  <c r="K18" i="5"/>
  <c r="S27" i="1"/>
  <c r="S26" i="1"/>
  <c r="K16" i="5"/>
  <c r="S25" i="1"/>
  <c r="S23" i="1"/>
  <c r="K13" i="5"/>
  <c r="V23" i="1"/>
  <c r="L13" i="5"/>
  <c r="S22" i="1"/>
  <c r="K12" i="5"/>
  <c r="S21" i="1"/>
  <c r="V21" i="1"/>
  <c r="S20" i="1"/>
  <c r="K10" i="5"/>
  <c r="S24" i="1"/>
  <c r="K14" i="5"/>
  <c r="V28" i="1"/>
  <c r="L18" i="5"/>
  <c r="K22" i="5"/>
  <c r="V36" i="1"/>
  <c r="L26" i="5"/>
  <c r="K30" i="5"/>
  <c r="L30" i="5"/>
  <c r="V44" i="1"/>
  <c r="L34" i="5"/>
  <c r="K38" i="5"/>
  <c r="V52" i="1"/>
  <c r="L42" i="5"/>
  <c r="K46" i="5"/>
  <c r="V60" i="1"/>
  <c r="L50" i="5"/>
  <c r="K54" i="5"/>
  <c r="V64" i="1"/>
  <c r="L54" i="5"/>
  <c r="K58" i="5"/>
  <c r="V68" i="1"/>
  <c r="L58" i="5"/>
  <c r="K15" i="5"/>
  <c r="V25" i="1"/>
  <c r="L15" i="5"/>
  <c r="K19" i="5"/>
  <c r="V29" i="1"/>
  <c r="L19" i="5"/>
  <c r="K23" i="5"/>
  <c r="V33" i="1"/>
  <c r="L23" i="5"/>
  <c r="K27" i="5"/>
  <c r="V37" i="1"/>
  <c r="L27" i="5"/>
  <c r="K31" i="5"/>
  <c r="V41" i="1"/>
  <c r="L31" i="5"/>
  <c r="K35" i="5"/>
  <c r="V45" i="1"/>
  <c r="L35" i="5"/>
  <c r="K39" i="5"/>
  <c r="V49" i="1"/>
  <c r="L39" i="5"/>
  <c r="K43" i="5"/>
  <c r="V53" i="1"/>
  <c r="L43" i="5"/>
  <c r="K47" i="5"/>
  <c r="V57" i="1"/>
  <c r="L47" i="5"/>
  <c r="K51" i="5"/>
  <c r="V61" i="1"/>
  <c r="L51" i="5"/>
  <c r="K55" i="5"/>
  <c r="V65" i="1"/>
  <c r="L55" i="5"/>
  <c r="K59" i="5"/>
  <c r="V69" i="1"/>
  <c r="L59" i="5"/>
  <c r="V26" i="1"/>
  <c r="L16" i="5"/>
  <c r="K28" i="5"/>
  <c r="V58" i="1"/>
  <c r="L48" i="5"/>
  <c r="K17" i="5"/>
  <c r="V27" i="1"/>
  <c r="L17" i="5"/>
  <c r="K21" i="5"/>
  <c r="V31" i="1"/>
  <c r="L21" i="5"/>
  <c r="K25" i="5"/>
  <c r="V35" i="1"/>
  <c r="L25" i="5"/>
  <c r="K29" i="5"/>
  <c r="V39" i="1"/>
  <c r="L29" i="5"/>
  <c r="K33" i="5"/>
  <c r="V43" i="1"/>
  <c r="L33" i="5"/>
  <c r="K37" i="5"/>
  <c r="V47" i="1"/>
  <c r="L37" i="5"/>
  <c r="K41" i="5"/>
  <c r="V51" i="1"/>
  <c r="L41" i="5"/>
  <c r="K45" i="5"/>
  <c r="V55" i="1"/>
  <c r="L45" i="5"/>
  <c r="K49" i="5"/>
  <c r="V59" i="1"/>
  <c r="L49" i="5"/>
  <c r="K53" i="5"/>
  <c r="V63" i="1"/>
  <c r="L53" i="5"/>
  <c r="K57" i="5"/>
  <c r="V67" i="1"/>
  <c r="L57" i="5"/>
  <c r="C199" i="4"/>
  <c r="C198" i="4"/>
  <c r="C197" i="4"/>
  <c r="C196" i="4"/>
  <c r="AN69" i="1"/>
  <c r="AN68"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F69" i="1"/>
  <c r="AD69" i="1"/>
  <c r="AH69" i="1"/>
  <c r="AF68" i="1"/>
  <c r="AF66" i="1"/>
  <c r="AF65" i="1"/>
  <c r="AD65" i="1"/>
  <c r="AH65" i="1"/>
  <c r="Q55" i="5"/>
  <c r="AF64" i="1"/>
  <c r="AF63" i="1"/>
  <c r="AF62" i="1"/>
  <c r="AF61" i="1"/>
  <c r="AF60" i="1"/>
  <c r="AF58" i="1"/>
  <c r="AF57" i="1"/>
  <c r="AD57" i="1"/>
  <c r="AH57" i="1"/>
  <c r="AF56" i="1"/>
  <c r="AF55" i="1"/>
  <c r="AF53" i="1"/>
  <c r="AD53" i="1"/>
  <c r="AH53" i="1"/>
  <c r="AF52" i="1"/>
  <c r="AF51" i="1"/>
  <c r="AF50" i="1"/>
  <c r="AF49" i="1"/>
  <c r="AD49" i="1"/>
  <c r="AH49" i="1"/>
  <c r="Q39" i="5"/>
  <c r="AF48" i="1"/>
  <c r="AF47" i="1"/>
  <c r="AF46" i="1"/>
  <c r="AF44" i="1"/>
  <c r="AF43" i="1"/>
  <c r="AF42" i="1"/>
  <c r="AF41" i="1"/>
  <c r="AD41" i="1"/>
  <c r="AH41" i="1"/>
  <c r="AF40" i="1"/>
  <c r="AF39" i="1"/>
  <c r="AF38" i="1"/>
  <c r="AF37" i="1"/>
  <c r="AD37" i="1"/>
  <c r="AH37" i="1"/>
  <c r="Q27" i="5"/>
  <c r="AF36" i="1"/>
  <c r="AF35" i="1"/>
  <c r="AF34" i="1"/>
  <c r="AF33" i="1"/>
  <c r="AD33" i="1"/>
  <c r="AH33" i="1"/>
  <c r="AF30" i="1"/>
  <c r="AF29" i="1"/>
  <c r="AD29" i="1"/>
  <c r="AH29" i="1"/>
  <c r="Q19" i="5"/>
  <c r="AF28" i="1"/>
  <c r="AF27" i="1"/>
  <c r="AF26"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A23" i="1"/>
  <c r="AL23" i="1"/>
  <c r="AA20" i="1"/>
  <c r="O13" i="5"/>
  <c r="AA69" i="1"/>
  <c r="Z69" i="1"/>
  <c r="AA68" i="1"/>
  <c r="Z68" i="1"/>
  <c r="AA67" i="1"/>
  <c r="Z67" i="1"/>
  <c r="AA66" i="1"/>
  <c r="Z66" i="1"/>
  <c r="AA65" i="1"/>
  <c r="Z65" i="1"/>
  <c r="AA64" i="1"/>
  <c r="Z64" i="1"/>
  <c r="AA63" i="1"/>
  <c r="Z63" i="1"/>
  <c r="AA62" i="1"/>
  <c r="Z62" i="1"/>
  <c r="AA61" i="1"/>
  <c r="Z61" i="1"/>
  <c r="AA60" i="1"/>
  <c r="Z60" i="1"/>
  <c r="AA59" i="1"/>
  <c r="Z59" i="1"/>
  <c r="AA58" i="1"/>
  <c r="Z58" i="1"/>
  <c r="AA57" i="1"/>
  <c r="Z57" i="1"/>
  <c r="AA56" i="1"/>
  <c r="Z56" i="1"/>
  <c r="AA55" i="1"/>
  <c r="Z55" i="1"/>
  <c r="AA54" i="1"/>
  <c r="Z54" i="1"/>
  <c r="AA53" i="1"/>
  <c r="Z53" i="1"/>
  <c r="AA52" i="1"/>
  <c r="Z52" i="1"/>
  <c r="AA51" i="1"/>
  <c r="Z51" i="1"/>
  <c r="AA50" i="1"/>
  <c r="Z50" i="1"/>
  <c r="AA49" i="1"/>
  <c r="Z49" i="1"/>
  <c r="AA48" i="1"/>
  <c r="Z48" i="1"/>
  <c r="AA47" i="1"/>
  <c r="Z47" i="1"/>
  <c r="AA46" i="1"/>
  <c r="Z46" i="1"/>
  <c r="AA45" i="1"/>
  <c r="Z45" i="1"/>
  <c r="AA44" i="1"/>
  <c r="Z44" i="1"/>
  <c r="AA43" i="1"/>
  <c r="Z43" i="1"/>
  <c r="AA42"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Z25" i="1"/>
  <c r="AA24" i="1"/>
  <c r="Z24" i="1"/>
  <c r="Z23" i="1"/>
  <c r="AA22" i="1"/>
  <c r="O12" i="5"/>
  <c r="Z22" i="1"/>
  <c r="AA21" i="1"/>
  <c r="AL21" i="1"/>
  <c r="Z21" i="1"/>
  <c r="Z20" i="1"/>
  <c r="O14" i="5"/>
  <c r="O11" i="5"/>
  <c r="AL25" i="1"/>
  <c r="O15" i="5"/>
  <c r="AL27" i="1"/>
  <c r="O17" i="5"/>
  <c r="AL29" i="1"/>
  <c r="O19" i="5"/>
  <c r="AL31" i="1"/>
  <c r="O21" i="5"/>
  <c r="AL33" i="1"/>
  <c r="O23" i="5"/>
  <c r="AL35" i="1"/>
  <c r="O25" i="5"/>
  <c r="AL37" i="1"/>
  <c r="O27" i="5"/>
  <c r="AL39" i="1"/>
  <c r="O29" i="5"/>
  <c r="AL41" i="1"/>
  <c r="O31" i="5"/>
  <c r="AL43" i="1"/>
  <c r="O33" i="5"/>
  <c r="AL45" i="1"/>
  <c r="O35" i="5"/>
  <c r="AL47" i="1"/>
  <c r="O37" i="5"/>
  <c r="AL49" i="1"/>
  <c r="O39" i="5"/>
  <c r="AL51" i="1"/>
  <c r="O41" i="5"/>
  <c r="AL53" i="1"/>
  <c r="O43" i="5"/>
  <c r="AL55" i="1"/>
  <c r="O45" i="5"/>
  <c r="AL57" i="1"/>
  <c r="O47" i="5"/>
  <c r="AL59" i="1"/>
  <c r="O49" i="5"/>
  <c r="AL61" i="1"/>
  <c r="O51" i="5"/>
  <c r="AL63" i="1"/>
  <c r="O53" i="5"/>
  <c r="AL65" i="1"/>
  <c r="O55" i="5"/>
  <c r="AL67" i="1"/>
  <c r="O57" i="5"/>
  <c r="AL69" i="1"/>
  <c r="O59" i="5"/>
  <c r="AL26" i="1"/>
  <c r="O16" i="5"/>
  <c r="AL28" i="1"/>
  <c r="O18" i="5"/>
  <c r="AL30" i="1"/>
  <c r="O20" i="5"/>
  <c r="AL32" i="1"/>
  <c r="O22" i="5"/>
  <c r="AL34" i="1"/>
  <c r="O24" i="5"/>
  <c r="AL36" i="1"/>
  <c r="O26" i="5"/>
  <c r="AL38" i="1"/>
  <c r="O28" i="5"/>
  <c r="AL40" i="1"/>
  <c r="O30" i="5"/>
  <c r="AL42" i="1"/>
  <c r="O32" i="5"/>
  <c r="AL44" i="1"/>
  <c r="O34" i="5"/>
  <c r="AL46" i="1"/>
  <c r="O36" i="5"/>
  <c r="AL48" i="1"/>
  <c r="O38" i="5"/>
  <c r="AL50" i="1"/>
  <c r="O40" i="5"/>
  <c r="AL52" i="1"/>
  <c r="O42" i="5"/>
  <c r="AL54" i="1"/>
  <c r="O44" i="5"/>
  <c r="AL56" i="1"/>
  <c r="O46" i="5"/>
  <c r="AL58" i="1"/>
  <c r="O48" i="5"/>
  <c r="AL60" i="1"/>
  <c r="O50" i="5"/>
  <c r="AL62" i="1"/>
  <c r="O52" i="5"/>
  <c r="AL64" i="1"/>
  <c r="O54" i="5"/>
  <c r="AL66" i="1"/>
  <c r="O56" i="5"/>
  <c r="AL68" i="1"/>
  <c r="O58" i="5"/>
  <c r="AL22" i="1"/>
  <c r="C107" i="4"/>
  <c r="C106" i="4"/>
  <c r="C105"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6" i="4"/>
  <c r="C115" i="4"/>
  <c r="C114" i="4"/>
  <c r="C113" i="4"/>
  <c r="C112" i="4"/>
  <c r="C111" i="4"/>
  <c r="C110" i="4"/>
  <c r="C109" i="4"/>
  <c r="C108" i="4"/>
  <c r="C104" i="4"/>
  <c r="C103" i="4"/>
  <c r="C102" i="4"/>
  <c r="C101" i="4"/>
  <c r="C100" i="4"/>
  <c r="C99" i="4"/>
  <c r="C98" i="4"/>
  <c r="C97" i="4"/>
  <c r="C96" i="4"/>
  <c r="C95" i="4"/>
  <c r="C94" i="4"/>
  <c r="C93" i="4"/>
  <c r="C92" i="4"/>
  <c r="C91" i="4"/>
  <c r="C57" i="4"/>
  <c r="C84" i="4"/>
  <c r="C83" i="4"/>
  <c r="C82" i="4"/>
  <c r="C81" i="4"/>
  <c r="C80" i="4"/>
  <c r="C79" i="4"/>
  <c r="C78" i="4"/>
  <c r="C77" i="4"/>
  <c r="C76" i="4"/>
  <c r="C75" i="4"/>
  <c r="C74" i="4"/>
  <c r="C73" i="4"/>
  <c r="C72" i="4"/>
  <c r="C71" i="4"/>
  <c r="C70" i="4"/>
  <c r="C51" i="4"/>
  <c r="C50" i="4"/>
  <c r="C49" i="4"/>
  <c r="C48" i="4"/>
  <c r="C47" i="4"/>
  <c r="C46" i="4"/>
  <c r="C45" i="4"/>
  <c r="C44" i="4"/>
  <c r="C43" i="4"/>
  <c r="C42" i="4"/>
  <c r="C41" i="4"/>
  <c r="C40" i="4"/>
  <c r="C39" i="4"/>
  <c r="C38" i="4"/>
  <c r="C37" i="4"/>
  <c r="C36" i="4"/>
  <c r="C35" i="4"/>
  <c r="C34" i="4"/>
  <c r="C4" i="4"/>
  <c r="C3" i="4"/>
  <c r="N13" i="5"/>
  <c r="N11" i="5"/>
  <c r="N10" i="5"/>
  <c r="F20" i="1"/>
  <c r="AD20" i="1"/>
  <c r="AE69" i="1"/>
  <c r="AE68" i="1"/>
  <c r="AE67" i="1"/>
  <c r="AE66" i="1"/>
  <c r="AE65" i="1"/>
  <c r="AC65" i="1"/>
  <c r="AG65" i="1"/>
  <c r="AE64" i="1"/>
  <c r="AE63" i="1"/>
  <c r="AE62" i="1"/>
  <c r="AE61" i="1"/>
  <c r="AE60" i="1"/>
  <c r="AE59" i="1"/>
  <c r="AE58" i="1"/>
  <c r="AE57" i="1"/>
  <c r="AC57" i="1"/>
  <c r="AG57" i="1"/>
  <c r="P47" i="5"/>
  <c r="AE56" i="1"/>
  <c r="AE55" i="1"/>
  <c r="AE54" i="1"/>
  <c r="AE53" i="1"/>
  <c r="AE52" i="1"/>
  <c r="AE51" i="1"/>
  <c r="AE50" i="1"/>
  <c r="AE49" i="1"/>
  <c r="AC49" i="1"/>
  <c r="AG49" i="1"/>
  <c r="AE48" i="1"/>
  <c r="AE47" i="1"/>
  <c r="AE46" i="1"/>
  <c r="AE45" i="1"/>
  <c r="AE44" i="1"/>
  <c r="AE43" i="1"/>
  <c r="AE42" i="1"/>
  <c r="AE41" i="1"/>
  <c r="AE40" i="1"/>
  <c r="AE39" i="1"/>
  <c r="AE38" i="1"/>
  <c r="AE37" i="1"/>
  <c r="AE36" i="1"/>
  <c r="AE35" i="1"/>
  <c r="AE34" i="1"/>
  <c r="AE33" i="1"/>
  <c r="AC33" i="1"/>
  <c r="AG33" i="1"/>
  <c r="P23" i="5"/>
  <c r="AE32" i="1"/>
  <c r="AE31" i="1"/>
  <c r="AE30" i="1"/>
  <c r="AE29" i="1"/>
  <c r="AE28" i="1"/>
  <c r="AE27" i="1"/>
  <c r="AE26" i="1"/>
  <c r="AC69" i="1"/>
  <c r="AC68" i="1"/>
  <c r="AC67" i="1"/>
  <c r="AC66" i="1"/>
  <c r="AC64" i="1"/>
  <c r="AC63" i="1"/>
  <c r="AC62" i="1"/>
  <c r="AC61" i="1"/>
  <c r="AC60" i="1"/>
  <c r="AC59" i="1"/>
  <c r="AC58" i="1"/>
  <c r="AC56" i="1"/>
  <c r="AC55" i="1"/>
  <c r="AC54" i="1"/>
  <c r="AC53" i="1"/>
  <c r="AC52" i="1"/>
  <c r="AC51" i="1"/>
  <c r="AC50" i="1"/>
  <c r="AG50" i="1"/>
  <c r="P40" i="5"/>
  <c r="AC48" i="1"/>
  <c r="AC47" i="1"/>
  <c r="AC46" i="1"/>
  <c r="AC45" i="1"/>
  <c r="AC44" i="1"/>
  <c r="AC43" i="1"/>
  <c r="AC42" i="1"/>
  <c r="AG42" i="1"/>
  <c r="P32" i="5"/>
  <c r="AC41" i="1"/>
  <c r="AC40" i="1"/>
  <c r="AC39" i="1"/>
  <c r="AC38" i="1"/>
  <c r="AG38" i="1"/>
  <c r="P28" i="5"/>
  <c r="AC37" i="1"/>
  <c r="AC36" i="1"/>
  <c r="AC35" i="1"/>
  <c r="AC34" i="1"/>
  <c r="AC32" i="1"/>
  <c r="AC31" i="1"/>
  <c r="AC30" i="1"/>
  <c r="AC29" i="1"/>
  <c r="AC28" i="1"/>
  <c r="AC27" i="1"/>
  <c r="AC26" i="1"/>
  <c r="AX391" i="1"/>
  <c r="Q70" i="1"/>
  <c r="J60" i="5"/>
  <c r="I70" i="1"/>
  <c r="E60" i="5"/>
  <c r="N69" i="1"/>
  <c r="F69" i="1"/>
  <c r="AD68" i="1"/>
  <c r="AH68" i="1"/>
  <c r="AI68" i="1"/>
  <c r="N68" i="1"/>
  <c r="F68" i="1"/>
  <c r="N67" i="1"/>
  <c r="F67" i="1"/>
  <c r="AD66" i="1"/>
  <c r="N66" i="1"/>
  <c r="F66" i="1"/>
  <c r="N65" i="1"/>
  <c r="F65" i="1"/>
  <c r="AD64" i="1"/>
  <c r="N64" i="1"/>
  <c r="F64" i="1"/>
  <c r="AD63" i="1"/>
  <c r="N63" i="1"/>
  <c r="F63" i="1"/>
  <c r="AD62" i="1"/>
  <c r="N62" i="1"/>
  <c r="F62" i="1"/>
  <c r="AD61" i="1"/>
  <c r="N61" i="1"/>
  <c r="F61" i="1"/>
  <c r="AD60" i="1"/>
  <c r="AH60" i="1"/>
  <c r="N60" i="1"/>
  <c r="F60" i="1"/>
  <c r="N59" i="1"/>
  <c r="F59" i="1"/>
  <c r="AD58" i="1"/>
  <c r="N58" i="1"/>
  <c r="F58" i="1"/>
  <c r="N57" i="1"/>
  <c r="F57" i="1"/>
  <c r="AD56" i="1"/>
  <c r="N56" i="1"/>
  <c r="F56" i="1"/>
  <c r="AD55" i="1"/>
  <c r="N55" i="1"/>
  <c r="F55" i="1"/>
  <c r="N54" i="1"/>
  <c r="F54" i="1"/>
  <c r="N53" i="1"/>
  <c r="F53" i="1"/>
  <c r="AD52" i="1"/>
  <c r="AH52" i="1"/>
  <c r="N52" i="1"/>
  <c r="F52" i="1"/>
  <c r="AD51" i="1"/>
  <c r="N51" i="1"/>
  <c r="F51" i="1"/>
  <c r="AD50" i="1"/>
  <c r="AH50" i="1"/>
  <c r="N50" i="1"/>
  <c r="F50" i="1"/>
  <c r="N49" i="1"/>
  <c r="F49" i="1"/>
  <c r="AD48" i="1"/>
  <c r="N48" i="1"/>
  <c r="F48" i="1"/>
  <c r="AD47" i="1"/>
  <c r="N47" i="1"/>
  <c r="F47" i="1"/>
  <c r="AD46" i="1"/>
  <c r="N46" i="1"/>
  <c r="F46" i="1"/>
  <c r="N45" i="1"/>
  <c r="F45" i="1"/>
  <c r="AD44" i="1"/>
  <c r="AH44" i="1"/>
  <c r="Q34" i="5"/>
  <c r="N44" i="1"/>
  <c r="F44" i="1"/>
  <c r="AD43" i="1"/>
  <c r="N43" i="1"/>
  <c r="F43" i="1"/>
  <c r="AD42" i="1"/>
  <c r="AH42" i="1"/>
  <c r="N42" i="1"/>
  <c r="F42" i="1"/>
  <c r="N41" i="1"/>
  <c r="F41" i="1"/>
  <c r="AD40" i="1"/>
  <c r="AH40" i="1"/>
  <c r="AI40" i="1"/>
  <c r="N40" i="1"/>
  <c r="F40" i="1"/>
  <c r="AD39" i="1"/>
  <c r="N39" i="1"/>
  <c r="F39" i="1"/>
  <c r="AD38" i="1"/>
  <c r="N38" i="1"/>
  <c r="F38" i="1"/>
  <c r="N37" i="1"/>
  <c r="F37" i="1"/>
  <c r="AD36" i="1"/>
  <c r="AH36" i="1"/>
  <c r="Q26" i="5"/>
  <c r="N36" i="1"/>
  <c r="F36" i="1"/>
  <c r="AD35" i="1"/>
  <c r="N35" i="1"/>
  <c r="F35" i="1"/>
  <c r="AD34" i="1"/>
  <c r="AH34" i="1"/>
  <c r="N34" i="1"/>
  <c r="F34" i="1"/>
  <c r="N33" i="1"/>
  <c r="F33" i="1"/>
  <c r="N32" i="1"/>
  <c r="F32" i="1"/>
  <c r="N31" i="1"/>
  <c r="F31" i="1"/>
  <c r="AD30" i="1"/>
  <c r="AH30" i="1"/>
  <c r="Q20" i="5"/>
  <c r="N30" i="1"/>
  <c r="F30" i="1"/>
  <c r="N29" i="1"/>
  <c r="F29" i="1"/>
  <c r="AD28" i="1"/>
  <c r="AH28" i="1"/>
  <c r="N28" i="1"/>
  <c r="F28" i="1"/>
  <c r="AD27" i="1"/>
  <c r="N27" i="1"/>
  <c r="F27" i="1"/>
  <c r="AD26" i="1"/>
  <c r="N26" i="1"/>
  <c r="F26" i="1"/>
  <c r="N25" i="1"/>
  <c r="AF25" i="1"/>
  <c r="F25" i="1"/>
  <c r="D15" i="5"/>
  <c r="N24" i="1"/>
  <c r="I14" i="5"/>
  <c r="AL24" i="1"/>
  <c r="F24" i="1"/>
  <c r="D14" i="5"/>
  <c r="N23" i="1"/>
  <c r="I13" i="5"/>
  <c r="F23" i="1"/>
  <c r="AC23" i="1"/>
  <c r="N22" i="1"/>
  <c r="AE22" i="1"/>
  <c r="I12" i="5"/>
  <c r="F22" i="1"/>
  <c r="D12" i="5"/>
  <c r="N21" i="1"/>
  <c r="I11" i="5"/>
  <c r="F21" i="1"/>
  <c r="AC21" i="1"/>
  <c r="N20" i="1"/>
  <c r="AF20" i="1"/>
  <c r="AF23" i="1"/>
  <c r="AH66" i="1"/>
  <c r="AI66" i="1"/>
  <c r="AG66" i="1"/>
  <c r="P56" i="5"/>
  <c r="AG39" i="1"/>
  <c r="P29" i="5"/>
  <c r="AG52" i="1"/>
  <c r="P42" i="5"/>
  <c r="AH63" i="1"/>
  <c r="AG67" i="1"/>
  <c r="P57" i="5"/>
  <c r="AG34" i="1"/>
  <c r="P24" i="5"/>
  <c r="AG37" i="1"/>
  <c r="P27" i="5"/>
  <c r="AH47" i="1"/>
  <c r="AI47" i="1"/>
  <c r="AG58" i="1"/>
  <c r="P48" i="5"/>
  <c r="AG47" i="1"/>
  <c r="P37" i="5"/>
  <c r="AG48" i="1"/>
  <c r="P38" i="5"/>
  <c r="AG68" i="1"/>
  <c r="P58" i="5"/>
  <c r="AG26" i="1"/>
  <c r="P16" i="5"/>
  <c r="AG27" i="1"/>
  <c r="P17" i="5"/>
  <c r="AG29" i="1"/>
  <c r="P19" i="5"/>
  <c r="AG30" i="1"/>
  <c r="P20" i="5"/>
  <c r="AG31" i="1"/>
  <c r="P21" i="5"/>
  <c r="Q22" i="5"/>
  <c r="AG51" i="1"/>
  <c r="P41" i="5"/>
  <c r="AG63" i="1"/>
  <c r="P53" i="5"/>
  <c r="AG35" i="1"/>
  <c r="P25" i="5"/>
  <c r="AG41" i="1"/>
  <c r="P31" i="5"/>
  <c r="AG43" i="1"/>
  <c r="P33" i="5"/>
  <c r="AG54" i="1"/>
  <c r="P44" i="5"/>
  <c r="AH62" i="1"/>
  <c r="Q52" i="5"/>
  <c r="AH26" i="1"/>
  <c r="AI26" i="1"/>
  <c r="AH46" i="1"/>
  <c r="AH38" i="1"/>
  <c r="Q28" i="5"/>
  <c r="AH43" i="1"/>
  <c r="AI43" i="1"/>
  <c r="AG56" i="1"/>
  <c r="P46" i="5"/>
  <c r="AG62" i="1"/>
  <c r="P52" i="5"/>
  <c r="AG44" i="1"/>
  <c r="P34" i="5"/>
  <c r="AG55" i="1"/>
  <c r="P45" i="5"/>
  <c r="AH61" i="1"/>
  <c r="AI61" i="1"/>
  <c r="AJ61" i="1"/>
  <c r="AG64" i="1"/>
  <c r="P54" i="5"/>
  <c r="AG46" i="1"/>
  <c r="P36" i="5"/>
  <c r="AG59" i="1"/>
  <c r="P49" i="5"/>
  <c r="AG60" i="1"/>
  <c r="P50" i="5"/>
  <c r="AH55" i="1"/>
  <c r="AH58" i="1"/>
  <c r="AH27" i="1"/>
  <c r="Q17" i="5"/>
  <c r="AG28" i="1"/>
  <c r="P18" i="5"/>
  <c r="AG32" i="1"/>
  <c r="P22" i="5"/>
  <c r="AH35" i="1"/>
  <c r="AG36" i="1"/>
  <c r="P26" i="5"/>
  <c r="AH39" i="1"/>
  <c r="AI39" i="1"/>
  <c r="AG40" i="1"/>
  <c r="P30" i="5"/>
  <c r="AH51" i="1"/>
  <c r="AI51" i="1"/>
  <c r="AG45" i="1"/>
  <c r="P35" i="5"/>
  <c r="AH48" i="1"/>
  <c r="Q38" i="5"/>
  <c r="P39" i="5"/>
  <c r="AG53" i="1"/>
  <c r="P43" i="5"/>
  <c r="AH56" i="1"/>
  <c r="AI56" i="1"/>
  <c r="AJ56" i="1"/>
  <c r="AG61" i="1"/>
  <c r="P51" i="5"/>
  <c r="AH64" i="1"/>
  <c r="P55" i="5"/>
  <c r="AG69" i="1"/>
  <c r="P59" i="5"/>
  <c r="R58" i="5"/>
  <c r="Q58" i="5"/>
  <c r="AI52" i="1"/>
  <c r="Q42" i="5"/>
  <c r="AI30" i="1"/>
  <c r="AJ30" i="1"/>
  <c r="R20" i="5"/>
  <c r="AI34" i="1"/>
  <c r="R24" i="5"/>
  <c r="Q24" i="5"/>
  <c r="R37" i="5"/>
  <c r="Q37" i="5"/>
  <c r="AI63" i="1"/>
  <c r="R53" i="5"/>
  <c r="Q53" i="5"/>
  <c r="AJ67" i="1"/>
  <c r="R57" i="5"/>
  <c r="Q57" i="5"/>
  <c r="Q29" i="5"/>
  <c r="R21" i="5"/>
  <c r="Q21" i="5"/>
  <c r="AI58" i="1"/>
  <c r="Q48" i="5"/>
  <c r="R33" i="5"/>
  <c r="Q33" i="5"/>
  <c r="AI42" i="1"/>
  <c r="R32" i="5"/>
  <c r="Q32" i="5"/>
  <c r="AI62" i="1"/>
  <c r="R52" i="5"/>
  <c r="AJ59" i="1"/>
  <c r="Q49" i="5"/>
  <c r="R30" i="5"/>
  <c r="Q30" i="5"/>
  <c r="Q56" i="5"/>
  <c r="Q46" i="5"/>
  <c r="AI36" i="1"/>
  <c r="AJ36" i="1"/>
  <c r="R26" i="5"/>
  <c r="AI50" i="1"/>
  <c r="R40" i="5"/>
  <c r="Q40" i="5"/>
  <c r="R41" i="5"/>
  <c r="Q41" i="5"/>
  <c r="AI35" i="1"/>
  <c r="Q25" i="5"/>
  <c r="AI27" i="1"/>
  <c r="AJ27" i="1"/>
  <c r="AI28" i="1"/>
  <c r="R18" i="5"/>
  <c r="Q18" i="5"/>
  <c r="AJ26" i="1"/>
  <c r="Q16" i="5"/>
  <c r="AJ52" i="1"/>
  <c r="AJ62" i="1"/>
  <c r="AJ40" i="1"/>
  <c r="AJ50" i="1"/>
  <c r="AJ47" i="1"/>
  <c r="AJ42" i="1"/>
  <c r="AJ51" i="1"/>
  <c r="AJ28" i="1"/>
  <c r="AJ43" i="1"/>
  <c r="AJ63" i="1"/>
  <c r="AF24" i="1"/>
  <c r="AE23" i="1"/>
  <c r="AD24" i="1"/>
  <c r="AH24" i="1"/>
  <c r="AI24" i="1"/>
  <c r="D13" i="5"/>
  <c r="AD22" i="1"/>
  <c r="AC24" i="1"/>
  <c r="AD23" i="1"/>
  <c r="AH23" i="1"/>
  <c r="Q13" i="5"/>
  <c r="R46" i="5"/>
  <c r="Q23" i="5"/>
  <c r="AI33" i="1"/>
  <c r="AI41" i="1"/>
  <c r="R31" i="5"/>
  <c r="Q31" i="5"/>
  <c r="AI57" i="1"/>
  <c r="R47" i="5"/>
  <c r="Q47" i="5"/>
  <c r="AI65" i="1"/>
  <c r="AJ65" i="1"/>
  <c r="Q59" i="5"/>
  <c r="AI69" i="1"/>
  <c r="R59" i="5"/>
  <c r="R16" i="5"/>
  <c r="AI48" i="1"/>
  <c r="Q45" i="5"/>
  <c r="AI55" i="1"/>
  <c r="AJ55" i="1"/>
  <c r="AI44" i="1"/>
  <c r="Q50" i="5"/>
  <c r="AI60" i="1"/>
  <c r="K44" i="5"/>
  <c r="Q36" i="5"/>
  <c r="AI46" i="1"/>
  <c r="AJ46" i="1"/>
  <c r="AJ45" i="1"/>
  <c r="Q35" i="5"/>
  <c r="K20" i="5"/>
  <c r="V30" i="1"/>
  <c r="L20" i="5"/>
  <c r="K24" i="5"/>
  <c r="V34" i="1"/>
  <c r="L24" i="5"/>
  <c r="K36" i="5"/>
  <c r="V46" i="1"/>
  <c r="L36" i="5"/>
  <c r="K40" i="5"/>
  <c r="V50" i="1"/>
  <c r="L40" i="5"/>
  <c r="K52" i="5"/>
  <c r="V62" i="1"/>
  <c r="L52" i="5"/>
  <c r="K56" i="5"/>
  <c r="V66" i="1"/>
  <c r="L56" i="5"/>
  <c r="AJ68" i="1"/>
  <c r="AL20" i="1"/>
  <c r="O10" i="5"/>
  <c r="AI29" i="1"/>
  <c r="AJ29" i="1"/>
  <c r="AI53" i="1"/>
  <c r="Q43" i="5"/>
  <c r="Q54" i="5"/>
  <c r="AI64" i="1"/>
  <c r="R54" i="5"/>
  <c r="AI38" i="1"/>
  <c r="V42" i="1"/>
  <c r="L32" i="5"/>
  <c r="AJ53" i="1"/>
  <c r="R43" i="5"/>
  <c r="R23" i="5"/>
  <c r="AJ33" i="1"/>
  <c r="R28" i="5"/>
  <c r="AJ38" i="1"/>
  <c r="R36" i="5"/>
  <c r="R34" i="5"/>
  <c r="AJ48" i="1"/>
  <c r="R38" i="5"/>
  <c r="R55" i="5"/>
  <c r="R35" i="5"/>
  <c r="R45" i="5"/>
  <c r="AJ32" i="1"/>
  <c r="R22" i="5"/>
  <c r="AJ64" i="1"/>
  <c r="AJ57" i="1"/>
  <c r="AJ41" i="1"/>
  <c r="R44" i="5"/>
  <c r="AJ54" i="1"/>
  <c r="AJ39" i="1"/>
  <c r="R29" i="5"/>
  <c r="R56" i="5"/>
  <c r="AJ66" i="1"/>
  <c r="R19" i="5"/>
  <c r="AJ69" i="1"/>
  <c r="AJ60" i="1"/>
  <c r="Q51" i="5"/>
  <c r="AJ44" i="1"/>
  <c r="AI49" i="1"/>
  <c r="R25" i="5"/>
  <c r="AJ35" i="1"/>
  <c r="Q44" i="5"/>
  <c r="R49" i="5"/>
  <c r="R48" i="5"/>
  <c r="AJ58" i="1"/>
  <c r="R50" i="5"/>
  <c r="R51" i="5"/>
  <c r="R17" i="5"/>
  <c r="AI37" i="1"/>
  <c r="AJ31" i="1"/>
  <c r="AJ34" i="1"/>
  <c r="R42" i="5"/>
  <c r="AC22" i="1"/>
  <c r="AG22" i="1"/>
  <c r="AC25" i="1"/>
  <c r="AE25" i="1"/>
  <c r="D11" i="5"/>
  <c r="AD25" i="1"/>
  <c r="I15" i="5"/>
  <c r="AE24" i="1"/>
  <c r="V24" i="1"/>
  <c r="V22" i="1"/>
  <c r="L12" i="5"/>
  <c r="AF22" i="1"/>
  <c r="AF21" i="1"/>
  <c r="AE21" i="1"/>
  <c r="AD21" i="1"/>
  <c r="R27" i="5"/>
  <c r="AJ37" i="1"/>
  <c r="R39" i="5"/>
  <c r="AJ49" i="1"/>
  <c r="L14" i="5"/>
  <c r="R25" i="2"/>
  <c r="R71" i="2"/>
  <c r="P21" i="2"/>
  <c r="S21" i="2"/>
  <c r="I71" i="2"/>
  <c r="S21" i="5"/>
  <c r="N17" i="5"/>
  <c r="D10" i="5"/>
  <c r="AC20" i="1"/>
  <c r="AC70" i="1"/>
  <c r="I10" i="5"/>
  <c r="AE20" i="1"/>
  <c r="AE70" i="1"/>
  <c r="N30" i="5"/>
  <c r="N20" i="5"/>
  <c r="N43" i="5"/>
  <c r="N58" i="5"/>
  <c r="N34" i="5"/>
  <c r="N50" i="5"/>
  <c r="N46" i="5"/>
  <c r="AO57" i="1"/>
  <c r="T47" i="5"/>
  <c r="N47" i="5"/>
  <c r="AO49" i="1"/>
  <c r="T39" i="5" s="1"/>
  <c r="N28" i="5"/>
  <c r="N16" i="5"/>
  <c r="N24" i="5"/>
  <c r="N39" i="5"/>
  <c r="N71" i="2"/>
  <c r="N52" i="5"/>
  <c r="AO39" i="1"/>
  <c r="T29" i="5" s="1"/>
  <c r="N44" i="5"/>
  <c r="S49" i="5"/>
  <c r="N26" i="5"/>
  <c r="AO27" i="1"/>
  <c r="T17" i="5"/>
  <c r="AO38" i="1"/>
  <c r="T28" i="5"/>
  <c r="N36" i="5"/>
  <c r="N57" i="5"/>
  <c r="N56" i="5"/>
  <c r="N49" i="5"/>
  <c r="S57" i="5"/>
  <c r="N29" i="5"/>
  <c r="N18" i="5"/>
  <c r="N21" i="5"/>
  <c r="S36" i="5"/>
  <c r="AO46" i="1"/>
  <c r="T36" i="5" s="1"/>
  <c r="S20" i="5"/>
  <c r="AO30" i="1"/>
  <c r="T20" i="5"/>
  <c r="S56" i="5"/>
  <c r="AO66" i="1"/>
  <c r="T56" i="5"/>
  <c r="AO60" i="1"/>
  <c r="T50" i="5"/>
  <c r="S50" i="5"/>
  <c r="S18" i="5"/>
  <c r="AO28" i="1"/>
  <c r="T18" i="5"/>
  <c r="S44" i="5"/>
  <c r="AO51" i="1"/>
  <c r="T41" i="5"/>
  <c r="N48" i="5"/>
  <c r="N22" i="5"/>
  <c r="N32" i="5"/>
  <c r="AK50" i="1"/>
  <c r="S35" i="5"/>
  <c r="M71" i="2"/>
  <c r="N41" i="5"/>
  <c r="N54" i="5"/>
  <c r="S48" i="5"/>
  <c r="AO58" i="1"/>
  <c r="T48" i="5"/>
  <c r="AO26" i="1"/>
  <c r="T16" i="5"/>
  <c r="S16" i="5"/>
  <c r="S43" i="5"/>
  <c r="AO53" i="1"/>
  <c r="T43" i="5" s="1"/>
  <c r="AK47" i="1"/>
  <c r="N37" i="5"/>
  <c r="AK33" i="1"/>
  <c r="S23" i="5" s="1"/>
  <c r="N23" i="5"/>
  <c r="AK55" i="1"/>
  <c r="N45" i="5"/>
  <c r="AK52" i="1"/>
  <c r="S42" i="5" s="1"/>
  <c r="AK48" i="1"/>
  <c r="N38" i="5"/>
  <c r="O71" i="2"/>
  <c r="N59" i="5"/>
  <c r="AK69" i="1"/>
  <c r="AK61" i="1"/>
  <c r="N51" i="5"/>
  <c r="AK37" i="1"/>
  <c r="S27" i="5" s="1"/>
  <c r="N27" i="5"/>
  <c r="N35" i="5"/>
  <c r="AK63" i="1"/>
  <c r="AO63" i="1" s="1"/>
  <c r="T53" i="5" s="1"/>
  <c r="N53" i="5"/>
  <c r="N55" i="5"/>
  <c r="AK65" i="1"/>
  <c r="AO65" i="1" s="1"/>
  <c r="T55" i="5" s="1"/>
  <c r="N31" i="5"/>
  <c r="AK41" i="1"/>
  <c r="AO41" i="1" s="1"/>
  <c r="T31" i="5" s="1"/>
  <c r="N19" i="5"/>
  <c r="AK29" i="1"/>
  <c r="S19" i="5" s="1"/>
  <c r="N33" i="5"/>
  <c r="AK43" i="1"/>
  <c r="AO43" i="1" s="1"/>
  <c r="T33" i="5" s="1"/>
  <c r="AK35" i="1"/>
  <c r="N25" i="5"/>
  <c r="AK24" i="1"/>
  <c r="S14" i="5"/>
  <c r="AK22" i="1"/>
  <c r="S12" i="5"/>
  <c r="V20" i="1"/>
  <c r="L10" i="5"/>
  <c r="AL70" i="1"/>
  <c r="L11" i="5"/>
  <c r="S70" i="1"/>
  <c r="K60" i="5"/>
  <c r="K11" i="5"/>
  <c r="AG21" i="1"/>
  <c r="P11" i="5"/>
  <c r="AG24" i="1"/>
  <c r="P14" i="5"/>
  <c r="AG23" i="1"/>
  <c r="AK21" i="1"/>
  <c r="AO21" i="1" s="1"/>
  <c r="T11" i="5" s="1"/>
  <c r="S11" i="5"/>
  <c r="AF70" i="1"/>
  <c r="AG25" i="1"/>
  <c r="AK25" i="1"/>
  <c r="S15" i="5"/>
  <c r="AH25" i="1"/>
  <c r="Q15" i="5"/>
  <c r="AH22" i="1"/>
  <c r="Q12" i="5"/>
  <c r="AH21" i="1"/>
  <c r="Q11" i="5"/>
  <c r="AH20" i="1"/>
  <c r="AI20" i="1"/>
  <c r="AJ20" i="1"/>
  <c r="AD70" i="1"/>
  <c r="P13" i="5"/>
  <c r="AK23" i="1"/>
  <c r="S13" i="5" s="1"/>
  <c r="AJ24" i="1"/>
  <c r="R14" i="5"/>
  <c r="AI22" i="1"/>
  <c r="P12" i="5"/>
  <c r="Q14" i="5"/>
  <c r="AI23" i="1"/>
  <c r="Q21" i="2"/>
  <c r="P71" i="2"/>
  <c r="Q71" i="2"/>
  <c r="AG20" i="1"/>
  <c r="P10" i="5"/>
  <c r="AK20" i="1"/>
  <c r="S10" i="5"/>
  <c r="Q10" i="5"/>
  <c r="AO24" i="1"/>
  <c r="T14" i="5" s="1"/>
  <c r="AO50" i="1"/>
  <c r="T40" i="5" s="1"/>
  <c r="S40" i="5"/>
  <c r="AO55" i="1"/>
  <c r="T45" i="5" s="1"/>
  <c r="S45" i="5"/>
  <c r="S37" i="5"/>
  <c r="AO47" i="1"/>
  <c r="T37" i="5" s="1"/>
  <c r="S38" i="5"/>
  <c r="AO48" i="1"/>
  <c r="T38" i="5"/>
  <c r="S53" i="5"/>
  <c r="S51" i="5"/>
  <c r="AO61" i="1"/>
  <c r="T51" i="5" s="1"/>
  <c r="S25" i="5"/>
  <c r="AO35" i="1"/>
  <c r="T25" i="5"/>
  <c r="AO29" i="1"/>
  <c r="T19" i="5"/>
  <c r="S31" i="5"/>
  <c r="S59" i="5"/>
  <c r="AO69" i="1"/>
  <c r="T59" i="5" s="1"/>
  <c r="S33" i="5"/>
  <c r="S55" i="5"/>
  <c r="V70" i="1"/>
  <c r="L60" i="5"/>
  <c r="AI25" i="1"/>
  <c r="P15" i="5"/>
  <c r="AH70" i="1"/>
  <c r="Q60" i="5"/>
  <c r="AI21" i="1"/>
  <c r="R11" i="5"/>
  <c r="R10" i="5"/>
  <c r="R15" i="5"/>
  <c r="AJ25" i="1"/>
  <c r="AO25" i="1"/>
  <c r="T15" i="5" s="1"/>
  <c r="AJ22" i="1"/>
  <c r="AO22" i="1"/>
  <c r="T12" i="5"/>
  <c r="R12" i="5"/>
  <c r="AO23" i="1"/>
  <c r="T13" i="5" s="1"/>
  <c r="AJ23" i="1"/>
  <c r="R13" i="5"/>
  <c r="S71" i="2"/>
  <c r="AJ21" i="1"/>
  <c r="AG70" i="1"/>
  <c r="P60" i="5"/>
  <c r="AO20" i="1"/>
  <c r="T10" i="5" s="1"/>
  <c r="AI70" i="1"/>
  <c r="R60" i="5"/>
  <c r="AJ70" i="1"/>
  <c r="AO70" i="1"/>
  <c r="T60" i="5" s="1"/>
  <c r="AO32" i="1" l="1"/>
  <c r="T22" i="5" s="1"/>
  <c r="S22" i="5"/>
  <c r="S24" i="5"/>
  <c r="AO34" i="1"/>
  <c r="T24" i="5" s="1"/>
  <c r="AO36" i="1"/>
  <c r="T26" i="5" s="1"/>
  <c r="S26" i="5"/>
  <c r="S32" i="5"/>
  <c r="AO42" i="1"/>
  <c r="T32" i="5" s="1"/>
  <c r="S34" i="5"/>
  <c r="AO44" i="1"/>
  <c r="T34" i="5" s="1"/>
  <c r="S52" i="5"/>
  <c r="AO62" i="1"/>
  <c r="T52" i="5" s="1"/>
  <c r="S54" i="5"/>
  <c r="AO64" i="1"/>
  <c r="T54" i="5" s="1"/>
  <c r="S58" i="5"/>
  <c r="AO68" i="1"/>
  <c r="T58" i="5" s="1"/>
  <c r="AO56" i="1"/>
  <c r="T46" i="5" s="1"/>
  <c r="AK70" i="1"/>
  <c r="AO37" i="1"/>
  <c r="T27" i="5" s="1"/>
  <c r="AO52" i="1"/>
  <c r="T42" i="5" s="1"/>
  <c r="AO33" i="1"/>
  <c r="T23" i="5" s="1"/>
  <c r="AO40" i="1"/>
  <c r="T30" i="5" s="1"/>
  <c r="S60" i="5" l="1"/>
  <c r="AO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AG19" authorId="0" shapeId="0" xr:uid="{00000000-0006-0000-0000-000001000000}">
      <text>
        <r>
          <rPr>
            <b/>
            <sz val="9"/>
            <color indexed="81"/>
            <rFont val="Tahoma"/>
            <family val="2"/>
          </rPr>
          <t>NOTE:</t>
        </r>
        <r>
          <rPr>
            <sz val="9"/>
            <color indexed="81"/>
            <rFont val="Tahoma"/>
            <family val="2"/>
          </rPr>
          <t xml:space="preserve">
This is the total difference in wattage of the fixtures, and does not represent peak demand savings. </t>
        </r>
      </text>
    </comment>
    <comment ref="AK19" authorId="0" shapeId="0" xr:uid="{00000000-0006-0000-0000-000002000000}">
      <text>
        <r>
          <rPr>
            <b/>
            <sz val="9"/>
            <color indexed="81"/>
            <rFont val="Tahoma"/>
            <family val="2"/>
          </rPr>
          <t>NOTE:</t>
        </r>
        <r>
          <rPr>
            <sz val="9"/>
            <color indexed="81"/>
            <rFont val="Tahoma"/>
            <family val="2"/>
          </rPr>
          <t xml:space="preserve">
Includes Lamps/Fixtures and Controls.
Subject to Focus on Energy review and approval. </t>
        </r>
      </text>
    </comment>
    <comment ref="AP19" authorId="0" shapeId="0" xr:uid="{00000000-0006-0000-0000-000003000000}">
      <text>
        <r>
          <rPr>
            <b/>
            <sz val="9"/>
            <color indexed="81"/>
            <rFont val="Tahoma"/>
            <family val="2"/>
          </rPr>
          <t>Checks if:</t>
        </r>
        <r>
          <rPr>
            <sz val="9"/>
            <color indexed="81"/>
            <rFont val="Tahoma"/>
            <family val="2"/>
          </rPr>
          <t xml:space="preserve">
Lighting Catalog Incentive Code is selected, but existing &amp; proposed quantities don't match (not 1:1 replacement)
If existing &amp; proposed quantities don't match and no Lighting Catalog Incentive Code selected: then recommends contacting Focus on Energy for a custom incentive
Project is for Small Business, but Lighting Catalog Incentive Code doesn't start with an "S"
Project is for Business, but Lighting Catalog Incentive Code does start with an "S"</t>
        </r>
      </text>
    </comment>
    <comment ref="AX268" authorId="0" shapeId="0" xr:uid="{00000000-0006-0000-0000-000004000000}">
      <text>
        <r>
          <rPr>
            <b/>
            <sz val="9"/>
            <color indexed="81"/>
            <rFont val="Tahoma"/>
            <family val="2"/>
          </rPr>
          <t>Zach Obert:</t>
        </r>
        <r>
          <rPr>
            <sz val="9"/>
            <color indexed="81"/>
            <rFont val="Tahoma"/>
            <family val="2"/>
          </rPr>
          <t xml:space="preserve">
Edited by Z.O. Input wattage guide value seemed high</t>
        </r>
      </text>
    </comment>
    <comment ref="AX269" authorId="0" shapeId="0" xr:uid="{00000000-0006-0000-0000-000005000000}">
      <text>
        <r>
          <rPr>
            <b/>
            <sz val="9"/>
            <color indexed="81"/>
            <rFont val="Tahoma"/>
            <family val="2"/>
          </rPr>
          <t>Zach Obert:</t>
        </r>
        <r>
          <rPr>
            <sz val="9"/>
            <color indexed="81"/>
            <rFont val="Tahoma"/>
            <family val="2"/>
          </rPr>
          <t xml:space="preserve">
Edited by Z.O. Input wattage guide value seemed high</t>
        </r>
      </text>
    </comment>
    <comment ref="AX356" authorId="0" shapeId="0" xr:uid="{00000000-0006-0000-0000-000006000000}">
      <text>
        <r>
          <rPr>
            <b/>
            <sz val="9"/>
            <color indexed="81"/>
            <rFont val="Tahoma"/>
            <family val="2"/>
          </rPr>
          <t>Zach Obert:</t>
        </r>
        <r>
          <rPr>
            <sz val="9"/>
            <color indexed="81"/>
            <rFont val="Tahoma"/>
            <family val="2"/>
          </rPr>
          <t xml:space="preserve">
From Xcel Energy's Lighting Efficiency-Input Wattage Guide, dated 11/2013</t>
        </r>
      </text>
    </comment>
    <comment ref="AX357" authorId="0" shapeId="0" xr:uid="{00000000-0006-0000-0000-000007000000}">
      <text>
        <r>
          <rPr>
            <b/>
            <sz val="9"/>
            <color indexed="81"/>
            <rFont val="Tahoma"/>
            <family val="2"/>
          </rPr>
          <t>Zach Obert:</t>
        </r>
        <r>
          <rPr>
            <sz val="9"/>
            <color indexed="81"/>
            <rFont val="Tahoma"/>
            <family val="2"/>
          </rPr>
          <t xml:space="preserve">
This value was mistakenly identified as an 8L T5HO iin the input wattage guide.Also compared watts/lamp to confirm this should be 10 lamp.</t>
        </r>
      </text>
    </comment>
    <comment ref="AX376" authorId="0" shapeId="0" xr:uid="{00000000-0006-0000-0000-000008000000}">
      <text>
        <r>
          <rPr>
            <b/>
            <sz val="9"/>
            <color indexed="81"/>
            <rFont val="Tahoma"/>
            <family val="2"/>
          </rPr>
          <t>Zach Obert:</t>
        </r>
        <r>
          <rPr>
            <sz val="9"/>
            <color indexed="81"/>
            <rFont val="Tahoma"/>
            <family val="2"/>
          </rPr>
          <t xml:space="preserve">
From PG&amp;E's Appendix B Table of Standard Fixture Wattages and Sample Lighting Table dated 7/16/13.</t>
        </r>
      </text>
    </comment>
    <comment ref="AX377" authorId="0" shapeId="0" xr:uid="{00000000-0006-0000-0000-000009000000}">
      <text>
        <r>
          <rPr>
            <b/>
            <sz val="9"/>
            <color indexed="81"/>
            <rFont val="Tahoma"/>
            <family val="2"/>
          </rPr>
          <t>Zach Obert:</t>
        </r>
        <r>
          <rPr>
            <sz val="9"/>
            <color indexed="81"/>
            <rFont val="Tahoma"/>
            <family val="2"/>
          </rPr>
          <t xml:space="preserve">
From Xcel Energy's Lighting Efficiency-Input Wattage Guide, dated 11/2013</t>
        </r>
      </text>
    </comment>
    <comment ref="AX378" authorId="0" shapeId="0" xr:uid="{00000000-0006-0000-0000-00000A000000}">
      <text>
        <r>
          <rPr>
            <b/>
            <sz val="9"/>
            <color indexed="81"/>
            <rFont val="Tahoma"/>
            <family val="2"/>
          </rPr>
          <t>Zach Obert:</t>
        </r>
        <r>
          <rPr>
            <sz val="9"/>
            <color indexed="81"/>
            <rFont val="Tahoma"/>
            <family val="2"/>
          </rPr>
          <t xml:space="preserve">
From Xcel Energy's Lighting Efficiency-Input Wattage Guide, dated 11/2013</t>
        </r>
      </text>
    </comment>
    <comment ref="AX379" authorId="0" shapeId="0" xr:uid="{00000000-0006-0000-0000-00000B000000}">
      <text>
        <r>
          <rPr>
            <b/>
            <sz val="9"/>
            <color indexed="81"/>
            <rFont val="Tahoma"/>
            <family val="2"/>
          </rPr>
          <t>Zach Obert:</t>
        </r>
        <r>
          <rPr>
            <sz val="9"/>
            <color indexed="81"/>
            <rFont val="Tahoma"/>
            <family val="2"/>
          </rPr>
          <t xml:space="preserve">
From Xcel Energy's Lighting Efficiency-Input Wattage Guide, dated 11/2013</t>
        </r>
      </text>
    </comment>
    <comment ref="AX384" authorId="0" shapeId="0" xr:uid="{00000000-0006-0000-0000-00000C000000}">
      <text>
        <r>
          <rPr>
            <b/>
            <sz val="9"/>
            <color indexed="81"/>
            <rFont val="Tahoma"/>
            <family val="2"/>
          </rPr>
          <t>Zach Obert:</t>
        </r>
        <r>
          <rPr>
            <sz val="9"/>
            <color indexed="81"/>
            <rFont val="Tahoma"/>
            <family val="2"/>
          </rPr>
          <t xml:space="preserve">
From Xcel Energy's Lighting Efficiency-Input Wattage Guide, dated 11/2013</t>
        </r>
      </text>
    </comment>
    <comment ref="AX385" authorId="0" shapeId="0" xr:uid="{00000000-0006-0000-0000-00000D000000}">
      <text>
        <r>
          <rPr>
            <b/>
            <sz val="9"/>
            <color indexed="81"/>
            <rFont val="Tahoma"/>
            <family val="2"/>
          </rPr>
          <t>Zach Obert:</t>
        </r>
        <r>
          <rPr>
            <sz val="9"/>
            <color indexed="81"/>
            <rFont val="Tahoma"/>
            <family val="2"/>
          </rPr>
          <t xml:space="preserve">
From Xcel Energy's Lighting Efficiency-Input Wattage Guide, dated 11/2013</t>
        </r>
      </text>
    </comment>
    <comment ref="AX386" authorId="0" shapeId="0" xr:uid="{00000000-0006-0000-0000-00000E000000}">
      <text>
        <r>
          <rPr>
            <b/>
            <sz val="9"/>
            <color indexed="81"/>
            <rFont val="Tahoma"/>
            <family val="2"/>
          </rPr>
          <t>Zach Obert:</t>
        </r>
        <r>
          <rPr>
            <sz val="9"/>
            <color indexed="81"/>
            <rFont val="Tahoma"/>
            <family val="2"/>
          </rPr>
          <t xml:space="preserve">
From Xcel Energy's Lighting Efficiency-Input Wattage Guide, dated 11/2013</t>
        </r>
      </text>
    </comment>
    <comment ref="AX387" authorId="0" shapeId="0" xr:uid="{00000000-0006-0000-0000-00000F000000}">
      <text>
        <r>
          <rPr>
            <b/>
            <sz val="9"/>
            <color indexed="81"/>
            <rFont val="Tahoma"/>
            <family val="2"/>
          </rPr>
          <t>Zach Obert:</t>
        </r>
        <r>
          <rPr>
            <sz val="9"/>
            <color indexed="81"/>
            <rFont val="Tahoma"/>
            <family val="2"/>
          </rPr>
          <t xml:space="preserve">
Same as 4L T8 HB, just use High BF wording</t>
        </r>
      </text>
    </comment>
    <comment ref="AX391" authorId="0" shapeId="0" xr:uid="{00000000-0006-0000-0000-000010000000}">
      <text>
        <r>
          <rPr>
            <b/>
            <sz val="9"/>
            <color indexed="81"/>
            <rFont val="Tahoma"/>
            <family val="2"/>
          </rPr>
          <t>Zach Obert:</t>
        </r>
        <r>
          <rPr>
            <sz val="9"/>
            <color indexed="81"/>
            <rFont val="Tahoma"/>
            <family val="2"/>
          </rPr>
          <t xml:space="preserve">
From Xcel Energy's Lighting Efficiency-Input Wattage Guide, dated 11/2013, which only has 8L and 12L, so used average of those to get 10L input watts.</t>
        </r>
      </text>
    </comment>
    <comment ref="AV392" authorId="0" shapeId="0" xr:uid="{00000000-0006-0000-0000-000011000000}">
      <text>
        <r>
          <rPr>
            <b/>
            <sz val="9"/>
            <color indexed="81"/>
            <rFont val="Tahoma"/>
            <family val="2"/>
          </rPr>
          <t>Zach Obert:</t>
        </r>
        <r>
          <rPr>
            <sz val="9"/>
            <color indexed="81"/>
            <rFont val="Tahoma"/>
            <family val="2"/>
          </rPr>
          <t xml:space="preserve">
Separated from the standard T8 4 ft category for this calc</t>
        </r>
      </text>
    </comment>
    <comment ref="AV393" authorId="0" shapeId="0" xr:uid="{00000000-0006-0000-0000-000012000000}">
      <text>
        <r>
          <rPr>
            <b/>
            <sz val="9"/>
            <color indexed="81"/>
            <rFont val="Tahoma"/>
            <family val="2"/>
          </rPr>
          <t>Zach Obert:</t>
        </r>
        <r>
          <rPr>
            <sz val="9"/>
            <color indexed="81"/>
            <rFont val="Tahoma"/>
            <family val="2"/>
          </rPr>
          <t xml:space="preserve">
Separated from the standard T8 4 ft category for this calc</t>
        </r>
      </text>
    </comment>
    <comment ref="AV394" authorId="0" shapeId="0" xr:uid="{00000000-0006-0000-0000-000013000000}">
      <text>
        <r>
          <rPr>
            <b/>
            <sz val="9"/>
            <color indexed="81"/>
            <rFont val="Tahoma"/>
            <family val="2"/>
          </rPr>
          <t>Zach Obert:</t>
        </r>
        <r>
          <rPr>
            <sz val="9"/>
            <color indexed="81"/>
            <rFont val="Tahoma"/>
            <family val="2"/>
          </rPr>
          <t xml:space="preserve">
Separated from the standard T8 4 ft category for this calc</t>
        </r>
      </text>
    </comment>
    <comment ref="AV395" authorId="0" shapeId="0" xr:uid="{00000000-0006-0000-0000-000014000000}">
      <text>
        <r>
          <rPr>
            <b/>
            <sz val="9"/>
            <color indexed="81"/>
            <rFont val="Tahoma"/>
            <family val="2"/>
          </rPr>
          <t>Zach Obert:</t>
        </r>
        <r>
          <rPr>
            <sz val="9"/>
            <color indexed="81"/>
            <rFont val="Tahoma"/>
            <family val="2"/>
          </rPr>
          <t xml:space="preserve">
Separated from the standard T8 4 ft category for this calc</t>
        </r>
      </text>
    </comment>
    <comment ref="AV396" authorId="0" shapeId="0" xr:uid="{00000000-0006-0000-0000-000015000000}">
      <text>
        <r>
          <rPr>
            <b/>
            <sz val="9"/>
            <color indexed="81"/>
            <rFont val="Tahoma"/>
            <family val="2"/>
          </rPr>
          <t>Zach Obert:</t>
        </r>
        <r>
          <rPr>
            <sz val="9"/>
            <color indexed="81"/>
            <rFont val="Tahoma"/>
            <family val="2"/>
          </rPr>
          <t xml:space="preserve">
Separated from the standard T8 4 ft category for this calc</t>
        </r>
      </text>
    </comment>
    <comment ref="AV397" authorId="0" shapeId="0" xr:uid="{00000000-0006-0000-0000-000016000000}">
      <text>
        <r>
          <rPr>
            <b/>
            <sz val="9"/>
            <color indexed="81"/>
            <rFont val="Tahoma"/>
            <family val="2"/>
          </rPr>
          <t>Zach Obert:</t>
        </r>
        <r>
          <rPr>
            <sz val="9"/>
            <color indexed="81"/>
            <rFont val="Tahoma"/>
            <family val="2"/>
          </rPr>
          <t xml:space="preserve">
Separated from the standard T8 4 ft category for this calc</t>
        </r>
      </text>
    </comment>
    <comment ref="AV398" authorId="0" shapeId="0" xr:uid="{00000000-0006-0000-0000-000017000000}">
      <text>
        <r>
          <rPr>
            <b/>
            <sz val="9"/>
            <color indexed="81"/>
            <rFont val="Tahoma"/>
            <family val="2"/>
          </rPr>
          <t>Zach Obert:</t>
        </r>
        <r>
          <rPr>
            <sz val="9"/>
            <color indexed="81"/>
            <rFont val="Tahoma"/>
            <family val="2"/>
          </rPr>
          <t xml:space="preserve">
Separated from the standard T8 4 ft category for this calc</t>
        </r>
      </text>
    </comment>
    <comment ref="AV399" authorId="0" shapeId="0" xr:uid="{00000000-0006-0000-0000-000018000000}">
      <text>
        <r>
          <rPr>
            <b/>
            <sz val="9"/>
            <color indexed="81"/>
            <rFont val="Tahoma"/>
            <family val="2"/>
          </rPr>
          <t>Zach Obert:</t>
        </r>
        <r>
          <rPr>
            <sz val="9"/>
            <color indexed="81"/>
            <rFont val="Tahoma"/>
            <family val="2"/>
          </rPr>
          <t xml:space="preserve">
Separated from the standard T8 4 ft category for this calc</t>
        </r>
      </text>
    </comment>
    <comment ref="AV400" authorId="0" shapeId="0" xr:uid="{00000000-0006-0000-0000-000019000000}">
      <text>
        <r>
          <rPr>
            <b/>
            <sz val="9"/>
            <color indexed="81"/>
            <rFont val="Tahoma"/>
            <family val="2"/>
          </rPr>
          <t>Zach Obert:</t>
        </r>
        <r>
          <rPr>
            <sz val="9"/>
            <color indexed="81"/>
            <rFont val="Tahoma"/>
            <family val="2"/>
          </rPr>
          <t xml:space="preserve">
Separated from the standard T8 4 ft category for this calc</t>
        </r>
      </text>
    </comment>
    <comment ref="AV401" authorId="0" shapeId="0" xr:uid="{00000000-0006-0000-0000-00001A000000}">
      <text>
        <r>
          <rPr>
            <b/>
            <sz val="9"/>
            <color indexed="81"/>
            <rFont val="Tahoma"/>
            <family val="2"/>
          </rPr>
          <t>Zach Obert:</t>
        </r>
        <r>
          <rPr>
            <sz val="9"/>
            <color indexed="81"/>
            <rFont val="Tahoma"/>
            <family val="2"/>
          </rPr>
          <t xml:space="preserve">
Separated from the standard T8 4 ft category for this calc</t>
        </r>
      </text>
    </comment>
    <comment ref="AV402" authorId="0" shapeId="0" xr:uid="{00000000-0006-0000-0000-00001B000000}">
      <text>
        <r>
          <rPr>
            <b/>
            <sz val="9"/>
            <color indexed="81"/>
            <rFont val="Tahoma"/>
            <family val="2"/>
          </rPr>
          <t>Zach Obert:</t>
        </r>
        <r>
          <rPr>
            <sz val="9"/>
            <color indexed="81"/>
            <rFont val="Tahoma"/>
            <family val="2"/>
          </rPr>
          <t xml:space="preserve">
Separated from the standard T8 4 ft category for this calc</t>
        </r>
      </text>
    </comment>
    <comment ref="AV403" authorId="0" shapeId="0" xr:uid="{00000000-0006-0000-0000-00001C000000}">
      <text>
        <r>
          <rPr>
            <b/>
            <sz val="9"/>
            <color indexed="81"/>
            <rFont val="Tahoma"/>
            <family val="2"/>
          </rPr>
          <t>Zach Obert:</t>
        </r>
        <r>
          <rPr>
            <sz val="9"/>
            <color indexed="81"/>
            <rFont val="Tahoma"/>
            <family val="2"/>
          </rPr>
          <t xml:space="preserve">
Separated from the standard T8 4 ft category for this calc</t>
        </r>
      </text>
    </comment>
    <comment ref="AV404" authorId="0" shapeId="0" xr:uid="{00000000-0006-0000-0000-00001D000000}">
      <text>
        <r>
          <rPr>
            <b/>
            <sz val="9"/>
            <color indexed="81"/>
            <rFont val="Tahoma"/>
            <family val="2"/>
          </rPr>
          <t>Zach Obert:</t>
        </r>
        <r>
          <rPr>
            <sz val="9"/>
            <color indexed="81"/>
            <rFont val="Tahoma"/>
            <family val="2"/>
          </rPr>
          <t xml:space="preserve">
Separated from the standard T8 4 ft category for this calc</t>
        </r>
      </text>
    </comment>
    <comment ref="AV405" authorId="0" shapeId="0" xr:uid="{00000000-0006-0000-0000-00001E000000}">
      <text>
        <r>
          <rPr>
            <b/>
            <sz val="9"/>
            <color indexed="81"/>
            <rFont val="Tahoma"/>
            <family val="2"/>
          </rPr>
          <t>Zach Obert:</t>
        </r>
        <r>
          <rPr>
            <sz val="9"/>
            <color indexed="81"/>
            <rFont val="Tahoma"/>
            <family val="2"/>
          </rPr>
          <t xml:space="preserve">
Separated from the standard T8 4 ft category for this calc</t>
        </r>
      </text>
    </comment>
    <comment ref="AV406" authorId="0" shapeId="0" xr:uid="{00000000-0006-0000-0000-00001F000000}">
      <text>
        <r>
          <rPr>
            <b/>
            <sz val="9"/>
            <color indexed="81"/>
            <rFont val="Tahoma"/>
            <family val="2"/>
          </rPr>
          <t>Zach Obert:</t>
        </r>
        <r>
          <rPr>
            <sz val="9"/>
            <color indexed="81"/>
            <rFont val="Tahoma"/>
            <family val="2"/>
          </rPr>
          <t xml:space="preserve">
Separated from the standard T8 4 ft category for this calc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L2" authorId="0" shapeId="0" xr:uid="{00000000-0006-0000-0300-000001000000}">
      <text>
        <r>
          <rPr>
            <b/>
            <sz val="9"/>
            <color indexed="81"/>
            <rFont val="Tahoma"/>
            <family val="2"/>
          </rPr>
          <t>Zach Obert:</t>
        </r>
        <r>
          <rPr>
            <sz val="9"/>
            <color indexed="81"/>
            <rFont val="Tahoma"/>
            <family val="2"/>
          </rPr>
          <t xml:space="preserve">
Set % cost limit, otherwise leave at 100%, even if measure isn't eligible for that program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M2" authorId="0" shapeId="0" xr:uid="{00000000-0006-0000-0500-000001000000}">
      <text>
        <r>
          <rPr>
            <b/>
            <sz val="9"/>
            <color indexed="81"/>
            <rFont val="Tahoma"/>
            <family val="2"/>
          </rPr>
          <t>Zach Obert:</t>
        </r>
        <r>
          <rPr>
            <sz val="9"/>
            <color indexed="81"/>
            <rFont val="Tahoma"/>
            <family val="2"/>
          </rPr>
          <t xml:space="preserve">
Set % cost limit, otherwise leave at 100%, even if measure isn't eligible for that program</t>
        </r>
      </text>
    </comment>
  </commentList>
</comments>
</file>

<file path=xl/sharedStrings.xml><?xml version="1.0" encoding="utf-8"?>
<sst xmlns="http://schemas.openxmlformats.org/spreadsheetml/2006/main" count="4363" uniqueCount="1714">
  <si>
    <t>2019 Small Biz Savings Estimator Tool</t>
  </si>
  <si>
    <t>hide</t>
  </si>
  <si>
    <t>Hide</t>
  </si>
  <si>
    <t>2019 Lighting Incentive Catalog</t>
  </si>
  <si>
    <t>Annual Hours Guidance</t>
  </si>
  <si>
    <t>Lighting Savings Opportunities</t>
  </si>
  <si>
    <t>If actual hours of operation are not known, the 
following averages by business type can be used:</t>
  </si>
  <si>
    <t xml:space="preserve">       Annual Hours for Common Schedules:</t>
  </si>
  <si>
    <t>Project Information</t>
  </si>
  <si>
    <t>Dusk-to-Dawn:</t>
  </si>
  <si>
    <t>Directions:</t>
  </si>
  <si>
    <t>Company Name:</t>
  </si>
  <si>
    <t>Assumptions / Limitations:</t>
  </si>
  <si>
    <t>Commercial:</t>
  </si>
  <si>
    <t>24 / 7 (three shift):</t>
  </si>
  <si>
    <t>1)</t>
  </si>
  <si>
    <t xml:space="preserve">This tool is intended to estimate savings from lighting upgrades. Savings identified are not guaranteed and are for estimating purposes only.  A completed incentive application </t>
  </si>
  <si>
    <t>Job Site Location:</t>
  </si>
  <si>
    <t xml:space="preserve">1) The Savings Estimator Tool assumes all existing lighting does not have controls. </t>
  </si>
  <si>
    <t>Industrial:</t>
  </si>
  <si>
    <t>24 / 5 (three shift):</t>
  </si>
  <si>
    <t xml:space="preserve">(and supporting documents) must be submitted to Focus on Energy to apply for any incentives identified.  Applications must be submitted within 60 days of installation.  </t>
  </si>
  <si>
    <t>Customer Contact at Job Site:</t>
  </si>
  <si>
    <t>2) Existing and proposed hours of operation are the same. Users cannot manually change the proposed hours of operation to be different than the existing hours of operation.</t>
  </si>
  <si>
    <t>Agriculture:</t>
  </si>
  <si>
    <t>16 / 7 (two shift):</t>
  </si>
  <si>
    <t>This summary is not a guarantee of any incentive.</t>
  </si>
  <si>
    <t xml:space="preserve">3) Adding lighting controls will reduce the hours of operation by the Focus on Energy default savings % for the controls technology selected. </t>
  </si>
  <si>
    <t>Schools &amp; Government:</t>
  </si>
  <si>
    <t>16 / 5 (two shift):</t>
  </si>
  <si>
    <t>2)</t>
  </si>
  <si>
    <t>The default Electric Utility Rate of $0.11/kWh can be edited if site-specific information is available. Gray shaded cells are calculations that do not require a user input.</t>
  </si>
  <si>
    <t>Trade Ally Company Name:</t>
  </si>
  <si>
    <t>4) If a line below has lighting controls, the lighting controls apply to all fixtures on that line. For spaces where not all fixtures have controls, split and enter the data for these areas onto two separate lines.</t>
  </si>
  <si>
    <t>12 / 7:</t>
  </si>
  <si>
    <t>3)</t>
  </si>
  <si>
    <t>Enter existing and proposed lighting information below, and assign whether the proposed lighting on each line has lighting controls.</t>
  </si>
  <si>
    <t>Trade Ally Contact Name:</t>
  </si>
  <si>
    <t>5) Only one type of control can be assigned to a group of fixtures.</t>
  </si>
  <si>
    <t>12 / 5:</t>
  </si>
  <si>
    <t>4)</t>
  </si>
  <si>
    <t>Most lighting will have a Default Input Watts for the fixture. This can be over-ridden by entering a value in the Manual Input Watts column, and then providing a note or supporting documentation</t>
  </si>
  <si>
    <t xml:space="preserve">6) The Savings Estimator Tool relies on the user to match up existing and proposed lighting with an appropriate incentive code from the lighting catalog. Make sure to review the requirements in the lighting catalog to confirm eligibility. </t>
  </si>
  <si>
    <t>10 / 7:</t>
  </si>
  <si>
    <t>(spec sheet, measured data, etc.) to confirm the input wattage. All LED lighting will require a Manual Input Watts entry.</t>
  </si>
  <si>
    <t>Date Savings Estimate Prepared:</t>
  </si>
  <si>
    <t xml:space="preserve">7) The Savings Estimator Tool only provides estimated incentives for prescriptive measures. This tool is not a guarantee of savings and is for estimating purposes only.  For custom measures, please contact your energy advisor. </t>
  </si>
  <si>
    <t>10 / 5:</t>
  </si>
  <si>
    <t>5)</t>
  </si>
  <si>
    <t>To calculate savings for adding controls to existing lighting, set both the existing fixture and proposed fixture information equal to one another and assign the appropriate controls.</t>
  </si>
  <si>
    <t>Focus on Energy Program:</t>
  </si>
  <si>
    <t>Small Business</t>
  </si>
  <si>
    <t>8) kW values used here are input watts x quantity, and are not necessarily on-peak demand kW. Exterior dusk to dawn fixtures and select low-use interior fixtures will not have peak demand kW.</t>
  </si>
  <si>
    <t>8 / 7:</t>
  </si>
  <si>
    <t>6)</t>
  </si>
  <si>
    <t>An Estimated Incentive Code from the Focus on Energy Lighting Incentive Catalog can be assigned to each line. Users of the Small Biz Savings Estimator Tool are responsible for ensuring</t>
  </si>
  <si>
    <t>Electric Utility Rate ($/kWh):</t>
  </si>
  <si>
    <t>8 / 5:</t>
  </si>
  <si>
    <t xml:space="preserve"> selected fixtures, lamps, and controls meet the eligibility requirements listed in the Lighting Incentive Catalog. Incentives in the Savings Estimator are for projects installed by December 31, 2019.</t>
  </si>
  <si>
    <t>7)</t>
  </si>
  <si>
    <t>All incentives are subject to review and approval by Focus on Energy prior to payment of incentives. See focusonenergy.com/businesslighting for a copy of the 2019 Lighting Incentive Catalog.</t>
  </si>
  <si>
    <t>EXISTING LIGHTING</t>
  </si>
  <si>
    <t>PROPOSED LIGHTING</t>
  </si>
  <si>
    <t>PROJECT COST</t>
  </si>
  <si>
    <t>POTENTIAL INCENTIVES</t>
  </si>
  <si>
    <t>LIGHTING ENERGY USE</t>
  </si>
  <si>
    <t>ENERGY &amp; COST SAVINGS</t>
  </si>
  <si>
    <t>Line #</t>
  </si>
  <si>
    <t>Location</t>
  </si>
  <si>
    <t>Existing Lighting Category</t>
  </si>
  <si>
    <t>Existing Lighting Type</t>
  </si>
  <si>
    <t>Default Input Watts</t>
  </si>
  <si>
    <t>Manual Input Watts</t>
  </si>
  <si>
    <t>Description / Notes</t>
  </si>
  <si>
    <t>Existing QTY</t>
  </si>
  <si>
    <t>Annual Hours</t>
  </si>
  <si>
    <t>Proposed Lighting Category</t>
  </si>
  <si>
    <t>Proposed Lighting Type</t>
  </si>
  <si>
    <t>Proposed Lighting Controls</t>
  </si>
  <si>
    <t>Proposed QTY</t>
  </si>
  <si>
    <t>Lighting Cost Each</t>
  </si>
  <si>
    <t>Total Lighting Cost</t>
  </si>
  <si>
    <t>Qty of Sensors</t>
  </si>
  <si>
    <t>Cost per Sensor</t>
  </si>
  <si>
    <t>Total Controls Cost</t>
  </si>
  <si>
    <t>Estimated Incentive Code from the 
Focus on Energy Lighting Catalog</t>
  </si>
  <si>
    <t>Lighting Incentive Rate</t>
  </si>
  <si>
    <t>Controls Incentive Rate</t>
  </si>
  <si>
    <t>Controls Savings Fraction</t>
  </si>
  <si>
    <t>Existing kW</t>
  </si>
  <si>
    <t>Existing kWh</t>
  </si>
  <si>
    <t>Proposed kW</t>
  </si>
  <si>
    <t>Proposed kWh</t>
  </si>
  <si>
    <t>kW Savings</t>
  </si>
  <si>
    <t>Annual kWh Savings</t>
  </si>
  <si>
    <t>Annual Energy Cost Savings</t>
  </si>
  <si>
    <t>Payback w/o Estimated Incentive (yrs)</t>
  </si>
  <si>
    <t>Estimated Incentive</t>
  </si>
  <si>
    <t>Controls Incentive (w/o cap)</t>
  </si>
  <si>
    <t>Fixture Incentive % proj cost cap</t>
  </si>
  <si>
    <t>Controls Incentive % of proj cost cap</t>
  </si>
  <si>
    <t>Payback w/ Estimated Incentive (yrs)</t>
  </si>
  <si>
    <t>Error Checking</t>
  </si>
  <si>
    <t>Notes &amp; Supporting Docs</t>
  </si>
  <si>
    <t>None</t>
  </si>
  <si>
    <t/>
  </si>
  <si>
    <t>Totals:</t>
  </si>
  <si>
    <t>*** Drop down box text ***</t>
  </si>
  <si>
    <t>Focus Program Text</t>
  </si>
  <si>
    <t>Proposed Controls Choices</t>
  </si>
  <si>
    <t>Savings %</t>
  </si>
  <si>
    <t>% Proj Cost Cap</t>
  </si>
  <si>
    <t>Detailed Description</t>
  </si>
  <si>
    <t>SBP Incentive</t>
  </si>
  <si>
    <t>Business Incentive</t>
  </si>
  <si>
    <t>Incentive Per</t>
  </si>
  <si>
    <t xml:space="preserve"> </t>
  </si>
  <si>
    <t>Business (including AgSG, BIP, LEU)</t>
  </si>
  <si>
    <t xml:space="preserve"> / Controlled Fixture</t>
  </si>
  <si>
    <t>"Incentive Per" choices for Controls:</t>
  </si>
  <si>
    <t xml:space="preserve"> / Watt Controlled</t>
  </si>
  <si>
    <t xml:space="preserve"> / Sensor</t>
  </si>
  <si>
    <t>Note: Total incentives for this project are approaching the Small Business Program limit of $10,000 per site per calendar year. Please check with the building owner to see if they've received other incentives this year that could put this project over the $10,000 limit.</t>
  </si>
  <si>
    <t>Note: Small Business Program incentives are limited to $10,000 per site per calendar year. Total incentives for this project exceed $10,000 and will be capped.</t>
  </si>
  <si>
    <t>Version: 1.0</t>
  </si>
  <si>
    <t>Release Date: 4/4/2013</t>
  </si>
  <si>
    <t>Notes:</t>
  </si>
  <si>
    <t xml:space="preserve">*Compiled using values from the following sources 2010 Xcel Energy wattage guide,  2007 Centerpoint Energy Wattage Table, and various manufacturers literature. </t>
  </si>
  <si>
    <t xml:space="preserve">*Unless denoted all wattage values shown for linear fluorescent products assume a normal ballast factor ballast </t>
  </si>
  <si>
    <t>*HB = High Bay w/ a high ballast factor ballast</t>
  </si>
  <si>
    <t>*HO = High Output Lamps and Ballasts</t>
  </si>
  <si>
    <t>*VHO = Very High Output Lamps and Ballasts</t>
  </si>
  <si>
    <t>Category (no Duplicates)</t>
  </si>
  <si>
    <t>Named Range</t>
  </si>
  <si>
    <t>Ceramic Metal Halide</t>
  </si>
  <si>
    <t>CeramicMetalHalide</t>
  </si>
  <si>
    <t>CMH and PSMH Lamps</t>
  </si>
  <si>
    <t>CMHandPSMHLamps</t>
  </si>
  <si>
    <t>CFL 2 Pin Based</t>
  </si>
  <si>
    <t>CFL2PinBased</t>
  </si>
  <si>
    <t>CFL 4 Pin Based</t>
  </si>
  <si>
    <t>CFL4PinBased</t>
  </si>
  <si>
    <t>CFL w/ Integral Ballast Screw or GU24</t>
  </si>
  <si>
    <t>CFLWithIntegralBallastScrewOrGU24Based</t>
  </si>
  <si>
    <t>Cold Cathode Screw Based Lamp</t>
  </si>
  <si>
    <t>ColdCathodeFluorescentScrewBasedLamps</t>
  </si>
  <si>
    <t>Exit Signs</t>
  </si>
  <si>
    <t>ExitSigns</t>
  </si>
  <si>
    <t>Fluorescent - T12 1.5ft</t>
  </si>
  <si>
    <t>T12_1.5ft</t>
  </si>
  <si>
    <t>Fluorescent - T12 2ft</t>
  </si>
  <si>
    <t>T12_2ft</t>
  </si>
  <si>
    <t>Fluorescent - T12 3ft</t>
  </si>
  <si>
    <t>T12_3ft</t>
  </si>
  <si>
    <t>Fluorescent - T12 4ft</t>
  </si>
  <si>
    <t>T12_4ft</t>
  </si>
  <si>
    <t>Fluorescent - T12 5ft</t>
  </si>
  <si>
    <t>T12_5ft</t>
  </si>
  <si>
    <t>Fluorescent - T12 6ft</t>
  </si>
  <si>
    <t>T12_6ft</t>
  </si>
  <si>
    <t>Fluorescent - T12 8ft</t>
  </si>
  <si>
    <t>T12_8ft</t>
  </si>
  <si>
    <t>Fluorescent - T12 U-tube</t>
  </si>
  <si>
    <t>T12U_tube</t>
  </si>
  <si>
    <t>Fluorescent - T5 and T5HO 2ft</t>
  </si>
  <si>
    <t>T5_2ft</t>
  </si>
  <si>
    <t>Fluorescent - T5 and T5HO 3ft</t>
  </si>
  <si>
    <t>T5_3ft</t>
  </si>
  <si>
    <t>Fluorescent - T5 and T5HO 4ft</t>
  </si>
  <si>
    <t>T5_4ft</t>
  </si>
  <si>
    <t>Fluorescent - T8 1.5ft</t>
  </si>
  <si>
    <t>T8_1.5ft</t>
  </si>
  <si>
    <t>Fluorescent - T8 2ft</t>
  </si>
  <si>
    <t>T8_2ft</t>
  </si>
  <si>
    <t>Fluorescent - T8 3ft</t>
  </si>
  <si>
    <t>T8_3ft</t>
  </si>
  <si>
    <t>Fluorescent - T8 4ft</t>
  </si>
  <si>
    <t>T8_4ft</t>
  </si>
  <si>
    <t>Fluorescent - T8 4ft (Std ballast, RW lamps)</t>
  </si>
  <si>
    <t>T8_4ft_StdBallastRWlamp</t>
  </si>
  <si>
    <t>Fluorescent - HPT8 4ft</t>
  </si>
  <si>
    <t>HPT8_4ft</t>
  </si>
  <si>
    <t>Fluorescent - RWT8 4ft</t>
  </si>
  <si>
    <t>RWT8_4ft</t>
  </si>
  <si>
    <t>Fluorescent - T8 5ft</t>
  </si>
  <si>
    <t>T8_5ft</t>
  </si>
  <si>
    <t>Fluorescent - T8 8ft</t>
  </si>
  <si>
    <t>T8_8ft</t>
  </si>
  <si>
    <t>Fluorescent - T8 U-tube</t>
  </si>
  <si>
    <t>T8U_tube</t>
  </si>
  <si>
    <t>Fluorescent - T8 4ft Lamp Only</t>
  </si>
  <si>
    <t>T8_4ft_Lamp</t>
  </si>
  <si>
    <t>Fluorescent - T8 8ft Lamp Only</t>
  </si>
  <si>
    <t>T8_8ft_Lamp</t>
  </si>
  <si>
    <t>High Pressure Sodium</t>
  </si>
  <si>
    <t>HighPressureSodium</t>
  </si>
  <si>
    <t>Incandescent</t>
  </si>
  <si>
    <t>Induction</t>
  </si>
  <si>
    <t>LED (Other)</t>
  </si>
  <si>
    <t>LED_Lighting</t>
  </si>
  <si>
    <t>LED (ENERGY STAR)</t>
  </si>
  <si>
    <t>LED_EnergyStar</t>
  </si>
  <si>
    <t>LED (DLC Outdoor)</t>
  </si>
  <si>
    <t>LED_DLC_Outdoor</t>
  </si>
  <si>
    <t>LED (DLC Indoor)</t>
  </si>
  <si>
    <t>LED_DLC_Indoor</t>
  </si>
  <si>
    <t>LED (DLC Outdoor Retrofit Kit)</t>
  </si>
  <si>
    <t>LED_DLC_OutdoorRetrofitKit</t>
  </si>
  <si>
    <t>LED (DLC Indoor Retrofit Kit)</t>
  </si>
  <si>
    <t>LED_DLC_IndoorRetrofitKit</t>
  </si>
  <si>
    <t>LED (DLC Linear Replacement Lamp)</t>
  </si>
  <si>
    <t>LED_DLC_LinearReplacementLamp</t>
  </si>
  <si>
    <t>LED (DLC Mogul Screw-Base HID Replacement)</t>
  </si>
  <si>
    <t>LED_DLC_MogulScrewBaseHidReplacement</t>
  </si>
  <si>
    <t>Mercury Vapor</t>
  </si>
  <si>
    <t>MercuryVapor</t>
  </si>
  <si>
    <t>Metal Halide</t>
  </si>
  <si>
    <t>MetalHalide</t>
  </si>
  <si>
    <t>Pulse Start Metal Halide</t>
  </si>
  <si>
    <t>PulseStartMetalHalide</t>
  </si>
  <si>
    <t>Neon</t>
  </si>
  <si>
    <t>Other Lamp or Fixture</t>
  </si>
  <si>
    <t>OtherLampOrFixture</t>
  </si>
  <si>
    <t>Additions to the Focus Input Wattage Guide needed for this calc are highlighted in yellow.</t>
  </si>
  <si>
    <t>Category</t>
  </si>
  <si>
    <t>Description</t>
  </si>
  <si>
    <t>Default Wattage</t>
  </si>
  <si>
    <t>Orig T12 Watts</t>
  </si>
  <si>
    <t>T8 Equivalent Description</t>
  </si>
  <si>
    <t>39 watt CMH</t>
  </si>
  <si>
    <t>50 watt CMH</t>
  </si>
  <si>
    <t>60 watt CMH</t>
  </si>
  <si>
    <t>90 watt CMH</t>
  </si>
  <si>
    <t>140 watt CMH</t>
  </si>
  <si>
    <t>150 watt CMH</t>
  </si>
  <si>
    <t>210 watt CMH</t>
  </si>
  <si>
    <t>220 watt CMH</t>
  </si>
  <si>
    <t>270 watt CMH</t>
  </si>
  <si>
    <t xml:space="preserve"> 315 watt CMH</t>
  </si>
  <si>
    <t>575 watt CMH</t>
  </si>
  <si>
    <t>145 watt CMH Lamp</t>
  </si>
  <si>
    <t>150 watt CMH Lamp</t>
  </si>
  <si>
    <t>205 watt CMH Lamp</t>
  </si>
  <si>
    <t>220 watt CMH Lamp</t>
  </si>
  <si>
    <t>260 watt CMH Lamp</t>
  </si>
  <si>
    <t>330 watt CMH and PSMH Lamps</t>
  </si>
  <si>
    <t>360 watt MH Lamp</t>
  </si>
  <si>
    <t>830 watt CMH Lamp</t>
  </si>
  <si>
    <t>10W CFL 2-Pin Base</t>
  </si>
  <si>
    <t>16W CFL 2-Pin Base</t>
  </si>
  <si>
    <t>21W CFL 2-Pin Base</t>
  </si>
  <si>
    <t>28W CFL 2-Pin Base</t>
  </si>
  <si>
    <t>38W CFL 2-Pin Base</t>
  </si>
  <si>
    <t>5W CFL 4-Pin Base</t>
  </si>
  <si>
    <t>7W CFL 4-Pin Base</t>
  </si>
  <si>
    <t>9W CFL 4-Pin Base</t>
  </si>
  <si>
    <t>10W CFL 4-Pin Base</t>
  </si>
  <si>
    <t>13W CFL 4-Pin Base</t>
  </si>
  <si>
    <t>14W CFL 4-Pin Base</t>
  </si>
  <si>
    <t>15W CFL 4-Pin Base</t>
  </si>
  <si>
    <t>16W CFL 4-Pin Base</t>
  </si>
  <si>
    <t>17W CFL 4-Pin Base</t>
  </si>
  <si>
    <t>18W CFL 4-Pin Base</t>
  </si>
  <si>
    <t>20W CFL 4-Pin Base</t>
  </si>
  <si>
    <t>21W CFL 4-Pin Base</t>
  </si>
  <si>
    <t>22W CFL 4-Pin Base</t>
  </si>
  <si>
    <t>23W CFL 4-Pin Base</t>
  </si>
  <si>
    <t>24W CFL 4-Pin Base</t>
  </si>
  <si>
    <t>25W CFL 4-Pin Base</t>
  </si>
  <si>
    <t>26W CFL 4-Pin Base</t>
  </si>
  <si>
    <t>27W CFL 4-Pin Base</t>
  </si>
  <si>
    <t>28W CFL 4-Pin Base</t>
  </si>
  <si>
    <t>32W CFL 4-Pin Base</t>
  </si>
  <si>
    <t>33W CFL 4-Pin Base</t>
  </si>
  <si>
    <t>36W CFL 4-Pin Base</t>
  </si>
  <si>
    <t>38W CFL 4-Pin Base</t>
  </si>
  <si>
    <t>40W CFL 4-Pin Base</t>
  </si>
  <si>
    <t>42W CFL 4-Pin Base</t>
  </si>
  <si>
    <t>55W CFL 4-Pin Base</t>
  </si>
  <si>
    <t>57W CFL 4-Pin Base</t>
  </si>
  <si>
    <t>70W CFL 4-Pin Base</t>
  </si>
  <si>
    <t>85W CFL 4-Pin Base</t>
  </si>
  <si>
    <t>120W CFL 4-Pin Base</t>
  </si>
  <si>
    <t>2W CFL Lamp</t>
  </si>
  <si>
    <t>4W CFL Lamp</t>
  </si>
  <si>
    <t>7W CFL Lamp</t>
  </si>
  <si>
    <t>9W CFL Lamp</t>
  </si>
  <si>
    <t>11W CFL Lamp</t>
  </si>
  <si>
    <t>13W CFL Lamp</t>
  </si>
  <si>
    <t>14W CFL Lamp</t>
  </si>
  <si>
    <t>15W CFL Lamp</t>
  </si>
  <si>
    <t>16W CFL Lamp</t>
  </si>
  <si>
    <t>17W CFL Lamp</t>
  </si>
  <si>
    <t>18W CFL Lamp</t>
  </si>
  <si>
    <t>20W CFL Lamp</t>
  </si>
  <si>
    <t>23W CFL Lamp</t>
  </si>
  <si>
    <t>25W CFL Lamp</t>
  </si>
  <si>
    <t>26W CFL Lamp</t>
  </si>
  <si>
    <t>27W CFL Lamp</t>
  </si>
  <si>
    <t>28W CFL Lamp</t>
  </si>
  <si>
    <t>32W CFL Lamp</t>
  </si>
  <si>
    <t>42W CFL Lamp</t>
  </si>
  <si>
    <t>44W CFL Lamp</t>
  </si>
  <si>
    <t>50W CFL Lamp</t>
  </si>
  <si>
    <t>70W CFL Lamp</t>
  </si>
  <si>
    <t>75W CFL Lamp</t>
  </si>
  <si>
    <t>100W CFL Lamp</t>
  </si>
  <si>
    <t>150W CFL Lamp</t>
  </si>
  <si>
    <t>200W CFL Lamp</t>
  </si>
  <si>
    <t>3W Cold Cathode</t>
  </si>
  <si>
    <t>4W Cold Cathode</t>
  </si>
  <si>
    <t>5W Cold Cathode</t>
  </si>
  <si>
    <t>8W Cold Cathode</t>
  </si>
  <si>
    <t>5w CFL Exit Sign (X1)</t>
  </si>
  <si>
    <t>5w CFL Exit Sign (X2)</t>
  </si>
  <si>
    <t>6w CFL Exit Sign (X1)</t>
  </si>
  <si>
    <t>6w CFL Exit Sign (X2)</t>
  </si>
  <si>
    <t>7w CFL Exit Sign (X1)</t>
  </si>
  <si>
    <t>7w CFL Exit Sign (X2)</t>
  </si>
  <si>
    <t>8w CFL Exit Sign (X1)</t>
  </si>
  <si>
    <t>8w CFL Exit Sign (X2)</t>
  </si>
  <si>
    <t>9w CFL Exit Sign (X1)</t>
  </si>
  <si>
    <t>9w CFL Exit Sign (X2)</t>
  </si>
  <si>
    <t>2 Watt LED Exit Sign  (X1)</t>
  </si>
  <si>
    <t>2 Watt LED Exit Sign  (X2)</t>
  </si>
  <si>
    <t>3 Watt LED Exit Sign  (X1)</t>
  </si>
  <si>
    <t>Equiv T8 Watts</t>
  </si>
  <si>
    <t>T8 Equivalent Description (Focus wattage guide unless otherwise noted)</t>
  </si>
  <si>
    <t>1L 15W T12</t>
  </si>
  <si>
    <t>1L 15W T8</t>
  </si>
  <si>
    <t>2L 15W T12</t>
  </si>
  <si>
    <t>2L 15W T8</t>
  </si>
  <si>
    <t>Fluorescent - T12 and T12HO 2ft</t>
  </si>
  <si>
    <t xml:space="preserve">1L F20 T12 </t>
  </si>
  <si>
    <t xml:space="preserve">1L F17 T8 </t>
  </si>
  <si>
    <t xml:space="preserve">2L F20 T12 </t>
  </si>
  <si>
    <t xml:space="preserve">2L F17 T8 </t>
  </si>
  <si>
    <t xml:space="preserve">3L F20 T12 </t>
  </si>
  <si>
    <t xml:space="preserve">3L F17 T8 </t>
  </si>
  <si>
    <t xml:space="preserve">4L F20 T12 </t>
  </si>
  <si>
    <t xml:space="preserve">4L F17 T8 </t>
  </si>
  <si>
    <t xml:space="preserve">6L F20 T12 </t>
  </si>
  <si>
    <t>6L F17 T8 (estimated as a 4L T8 and 2L T8)</t>
  </si>
  <si>
    <t>1L F24 T12/HO (35w Lamps)</t>
  </si>
  <si>
    <t>Using T12HO wattage as placeholder</t>
  </si>
  <si>
    <t>2L F24 T12/HO (35w Lamps)</t>
  </si>
  <si>
    <t>Fluorescent - T12 and T12HO 3ft</t>
  </si>
  <si>
    <t>1L F30 T12 /ES</t>
  </si>
  <si>
    <t>1L F25 T8</t>
  </si>
  <si>
    <t>2L F30 T12/ES</t>
  </si>
  <si>
    <t>2L F25 T8</t>
  </si>
  <si>
    <t>3L F30 T12/ES</t>
  </si>
  <si>
    <t>3L F25 T8</t>
  </si>
  <si>
    <t>4L F30 T12/ES</t>
  </si>
  <si>
    <t>4L F25 T8</t>
  </si>
  <si>
    <t>6L F30 T12/ES</t>
  </si>
  <si>
    <t>6L F25 T8</t>
  </si>
  <si>
    <t>1L F30 T12</t>
  </si>
  <si>
    <t>2L F30 T12</t>
  </si>
  <si>
    <t>3L F30 T12</t>
  </si>
  <si>
    <t>4L F30 T12</t>
  </si>
  <si>
    <t>6L F30 T12</t>
  </si>
  <si>
    <t>1L F30 T12/HO (50w Lamps)</t>
  </si>
  <si>
    <t>2L F30 T12/HO (50w Lamps)</t>
  </si>
  <si>
    <t>Fluorescent - T12 and T12HO 4ft</t>
  </si>
  <si>
    <t>1L F34 T12</t>
  </si>
  <si>
    <t>1L F32 T8</t>
  </si>
  <si>
    <t>2L F34 T12</t>
  </si>
  <si>
    <t>2L F32 T8</t>
  </si>
  <si>
    <t>3L F34 T12</t>
  </si>
  <si>
    <t>3L F32 T8</t>
  </si>
  <si>
    <t>4L F34 T12</t>
  </si>
  <si>
    <t>4L F32 T8</t>
  </si>
  <si>
    <t>1L F40 T12</t>
  </si>
  <si>
    <t>2L F40 T12</t>
  </si>
  <si>
    <t>3L F40 T12</t>
  </si>
  <si>
    <t>4L F40 T12</t>
  </si>
  <si>
    <t>6L F40 T12</t>
  </si>
  <si>
    <t>FLT8-32W x 6L x 4'-2 IS N from 2013 CenterPoint Energy Wattage Guide</t>
  </si>
  <si>
    <t>1L F40 T12/HO (60 watt Lamps)</t>
  </si>
  <si>
    <t>2L F40 T12/HO (60 watt Lamps)</t>
  </si>
  <si>
    <t>3L F40 T12/HO (60 watt Lamps)</t>
  </si>
  <si>
    <t>4L F40 T12/HO (60 watt Lamps)</t>
  </si>
  <si>
    <t>1L F40 T12/VHO (116w Lamps)</t>
  </si>
  <si>
    <t>2L F40 T12/VHO (116w Lamps)</t>
  </si>
  <si>
    <t>3L F40 T12/VHO (116w Lamps)</t>
  </si>
  <si>
    <t>4L F40 T12/VHO (116w Lamps)</t>
  </si>
  <si>
    <t>1L F60 T12 (50w Lamp)</t>
  </si>
  <si>
    <t>1L F40 T8</t>
  </si>
  <si>
    <t>2L F60 T12 (50w Lamp)</t>
  </si>
  <si>
    <t>2L F40 T8</t>
  </si>
  <si>
    <t>1L F72 T12 (57w Lamps)</t>
  </si>
  <si>
    <t>Xcel Energy wattage guide, avg. of 1L T8 6' mag and elec ballast</t>
  </si>
  <si>
    <t>2L F72 T12 (57w Lamps)</t>
  </si>
  <si>
    <t>Xcel Energy wattage guide, avg. of 2L T8 6' mag and elec ballast</t>
  </si>
  <si>
    <t>3L F72 T12 (57w Lamps)</t>
  </si>
  <si>
    <t>No data available, so used 1L + 2L 6' T8</t>
  </si>
  <si>
    <t>4L F72 T12 (57w Lamps)</t>
  </si>
  <si>
    <t>No data available, so used 2L + 2L 6' T8</t>
  </si>
  <si>
    <t>Fluorescent - T12 and T12HO 8ft</t>
  </si>
  <si>
    <t>1L F96T12 (60w Lamps)</t>
  </si>
  <si>
    <t>1L F96T8 (59w Lamps)</t>
  </si>
  <si>
    <t>2L F96T12 (60w Lamps)</t>
  </si>
  <si>
    <t>2L F96T8 (59w Lamps)</t>
  </si>
  <si>
    <t>3L F96T12 (60w Lamps)</t>
  </si>
  <si>
    <t>3L F96T8 (59w Lamps)</t>
  </si>
  <si>
    <t>4L F96T12 (60w Lamps)</t>
  </si>
  <si>
    <t>4L F96T8 (59w Lamps)</t>
  </si>
  <si>
    <t>1L F96T12/HO (95w Lamps)</t>
  </si>
  <si>
    <t>2L F96T12/HO (95w Lamps)</t>
  </si>
  <si>
    <t>3L F96T12/HO (95w Lamps)</t>
  </si>
  <si>
    <t>4L F96T12/HO (95w Lamps)</t>
  </si>
  <si>
    <t>1L F96T12/VHO (185w Lamps)</t>
  </si>
  <si>
    <t>2L F96T12/VHO (185w Lamps)</t>
  </si>
  <si>
    <t>3L F96T12/VHO (185w Lamps)</t>
  </si>
  <si>
    <t>4L F96T12/VHO (185w Lamps)</t>
  </si>
  <si>
    <t>1L FU40T12</t>
  </si>
  <si>
    <t>1L FU32T8</t>
  </si>
  <si>
    <t>2L FU40T12</t>
  </si>
  <si>
    <t>2L FU32T8</t>
  </si>
  <si>
    <t>3L FU40T12</t>
  </si>
  <si>
    <t>3L FU32T8</t>
  </si>
  <si>
    <t>1L F14T5</t>
  </si>
  <si>
    <t>2L F14T5</t>
  </si>
  <si>
    <t>3L F14T5</t>
  </si>
  <si>
    <t>4L F14T5</t>
  </si>
  <si>
    <t xml:space="preserve">1L F24T5/HO </t>
  </si>
  <si>
    <t xml:space="preserve">2L F24T5/HO </t>
  </si>
  <si>
    <t xml:space="preserve">3L F24T5/HO </t>
  </si>
  <si>
    <t xml:space="preserve">4L F24T5/HO </t>
  </si>
  <si>
    <t xml:space="preserve">6L F24T5/HO </t>
  </si>
  <si>
    <t>1L F21T5</t>
  </si>
  <si>
    <t>2L F21T5</t>
  </si>
  <si>
    <t>3L F21T5</t>
  </si>
  <si>
    <t>4L F21T5</t>
  </si>
  <si>
    <t>1L F39T5/HO</t>
  </si>
  <si>
    <t>2L F39T5/HO</t>
  </si>
  <si>
    <t>3L F39T5/HO</t>
  </si>
  <si>
    <t>4L F39T5/HO</t>
  </si>
  <si>
    <t>1L F28 T5</t>
  </si>
  <si>
    <t>2L F28 T5</t>
  </si>
  <si>
    <t>3L F28 T5</t>
  </si>
  <si>
    <t>4L F28 T5</t>
  </si>
  <si>
    <t>1L F54 T5HO</t>
  </si>
  <si>
    <t>2L F54 T5HO</t>
  </si>
  <si>
    <t>3L F54 T5HO</t>
  </si>
  <si>
    <t>4L F54 T5HO Highbay</t>
  </si>
  <si>
    <t>6L F54 T5HO Highbay</t>
  </si>
  <si>
    <t>8L F54 T5HO Highbay</t>
  </si>
  <si>
    <t>10L F54 T5HO Highbay</t>
  </si>
  <si>
    <t>26 watt T5 Lamp</t>
  </si>
  <si>
    <t>28 watt T5 Lamp</t>
  </si>
  <si>
    <t>44 watt T5HO Lamp</t>
  </si>
  <si>
    <t>47 watt T5HO Lamp</t>
  </si>
  <si>
    <t>49 watt T5HO Lamp</t>
  </si>
  <si>
    <t>51 watt T5HO Lamp</t>
  </si>
  <si>
    <t>54 watt T5HO Lamp</t>
  </si>
  <si>
    <t>1L F25 T8 3 ft</t>
  </si>
  <si>
    <t>2L F25 T8 3 ft</t>
  </si>
  <si>
    <t>3L F25 T8 3 ft</t>
  </si>
  <si>
    <t>4L F25 T8 3 ft</t>
  </si>
  <si>
    <t>6L F25 T8 3 ft</t>
  </si>
  <si>
    <t>1L F32 T8 Low BF</t>
  </si>
  <si>
    <t>2L F32 T8 Low BF</t>
  </si>
  <si>
    <t>3L F32 T8 Low BF</t>
  </si>
  <si>
    <t>4L F32 T8 Low BF</t>
  </si>
  <si>
    <t>1L F32 T8 Normal BF</t>
  </si>
  <si>
    <t>2L F32 T8 Normal BF</t>
  </si>
  <si>
    <t>3L F32 T8 Normal BF</t>
  </si>
  <si>
    <t>4L F32 T8 Normal BF</t>
  </si>
  <si>
    <t>1L F32 T8 High BF</t>
  </si>
  <si>
    <t>2L F32 T8 High BF</t>
  </si>
  <si>
    <t>3L F32 T8 High BF</t>
  </si>
  <si>
    <t>4L F32 T8 High BF</t>
  </si>
  <si>
    <t>4L F32 T8 Highbay</t>
  </si>
  <si>
    <t>6L F32 T8 Highbay</t>
  </si>
  <si>
    <t>8L F32 T8 Highbay</t>
  </si>
  <si>
    <t>10L F32 T8 Highbay</t>
  </si>
  <si>
    <t>4L F25 T8 Highbay</t>
  </si>
  <si>
    <t>1L F28 T8</t>
  </si>
  <si>
    <t>2L F28 T8</t>
  </si>
  <si>
    <t>3L F28 T8</t>
  </si>
  <si>
    <t>4L F28 T8</t>
  </si>
  <si>
    <t>4L F28 T8 Highbay</t>
  </si>
  <si>
    <t>6L F28 T8 Highbay</t>
  </si>
  <si>
    <t>1L F30 T8</t>
  </si>
  <si>
    <t>2L F30 T8</t>
  </si>
  <si>
    <t>3L F30 T8</t>
  </si>
  <si>
    <t>4L F30 T8</t>
  </si>
  <si>
    <t>Fluorescent - CEE HPT8 4ft</t>
  </si>
  <si>
    <t>1L F32 HPT8 (Low)</t>
  </si>
  <si>
    <t>2L F32 HPT8 (Low)</t>
  </si>
  <si>
    <t>3L F32 HPT8 (Low)</t>
  </si>
  <si>
    <t>4L F32 HPT8 (Low)</t>
  </si>
  <si>
    <t>1L F32 HPT8 (Normal)</t>
  </si>
  <si>
    <t>2L F32 HPT8 (Normal)</t>
  </si>
  <si>
    <t>3L F32 HPT8 (Normal)</t>
  </si>
  <si>
    <t>4L F32 HPT8 (Normal)</t>
  </si>
  <si>
    <t>1L F32 HPT8 (High)</t>
  </si>
  <si>
    <t>2L F32 HPT8 (High)</t>
  </si>
  <si>
    <t>3L F32 HPT8 (High)</t>
  </si>
  <si>
    <t>4L F32 HPT8 (High)</t>
  </si>
  <si>
    <t>Fluorescent - CEE RWT8 4ft</t>
  </si>
  <si>
    <t>1L F32 RWT8 (Low) (28w Lamps)</t>
  </si>
  <si>
    <t>2L F32 RWT8 (Low) (28w Lamps)</t>
  </si>
  <si>
    <t>3L F32 RWT8 (Low) (28w Lamps)</t>
  </si>
  <si>
    <t>4L F32 RWT8 (Low) (28w Lamps)</t>
  </si>
  <si>
    <t>1L F32 RWT8 (Normal) (28w Lamps)</t>
  </si>
  <si>
    <t>2L F32 RWT8 (Normal) (28w Lamps)</t>
  </si>
  <si>
    <t>3L F32 RWT8 (Normal) (28w Lamps)</t>
  </si>
  <si>
    <t>4L F32 RWT8 (Normal) (28w Lamps)</t>
  </si>
  <si>
    <t>1L F32 RWT8 (High) (28w Lamps)</t>
  </si>
  <si>
    <t>2L F32 RWT8 (High) (28w Lamps)</t>
  </si>
  <si>
    <t>3L F32 RWT8 (High) (28w Lamps)</t>
  </si>
  <si>
    <t>4L F32 RWT8 (High) (28w Lamps)</t>
  </si>
  <si>
    <r>
      <t>1L F32 RWT8 (Low) (</t>
    </r>
    <r>
      <rPr>
        <b/>
        <sz val="10"/>
        <rFont val="Arial"/>
        <family val="2"/>
      </rPr>
      <t>25</t>
    </r>
    <r>
      <rPr>
        <sz val="10"/>
        <rFont val="Arial"/>
        <family val="2"/>
      </rPr>
      <t>w Lamps)</t>
    </r>
  </si>
  <si>
    <r>
      <t>2L F32 RWT8 (Low) (</t>
    </r>
    <r>
      <rPr>
        <b/>
        <sz val="10"/>
        <rFont val="Arial"/>
        <family val="2"/>
      </rPr>
      <t>25</t>
    </r>
    <r>
      <rPr>
        <sz val="10"/>
        <rFont val="Arial"/>
        <family val="2"/>
      </rPr>
      <t>w Lamps)</t>
    </r>
  </si>
  <si>
    <r>
      <t>3L F32 RWT8 (Low) (</t>
    </r>
    <r>
      <rPr>
        <b/>
        <sz val="10"/>
        <rFont val="Arial"/>
        <family val="2"/>
      </rPr>
      <t>25</t>
    </r>
    <r>
      <rPr>
        <sz val="10"/>
        <rFont val="Arial"/>
        <family val="2"/>
      </rPr>
      <t>w Lamps)</t>
    </r>
  </si>
  <si>
    <r>
      <t>4L F32 RWT8 (Low) (</t>
    </r>
    <r>
      <rPr>
        <b/>
        <sz val="10"/>
        <rFont val="Arial"/>
        <family val="2"/>
      </rPr>
      <t>25</t>
    </r>
    <r>
      <rPr>
        <sz val="10"/>
        <rFont val="Arial"/>
        <family val="2"/>
      </rPr>
      <t>w Lamps)</t>
    </r>
  </si>
  <si>
    <r>
      <t>1L F32 RWT8 (Normal) (</t>
    </r>
    <r>
      <rPr>
        <b/>
        <sz val="10"/>
        <rFont val="Arial"/>
        <family val="2"/>
      </rPr>
      <t>25</t>
    </r>
    <r>
      <rPr>
        <sz val="10"/>
        <rFont val="Arial"/>
        <family val="2"/>
      </rPr>
      <t>w Lamps)</t>
    </r>
  </si>
  <si>
    <r>
      <t>2L F32 RWT8 (Normal) (</t>
    </r>
    <r>
      <rPr>
        <b/>
        <sz val="10"/>
        <rFont val="Arial"/>
        <family val="2"/>
      </rPr>
      <t>25</t>
    </r>
    <r>
      <rPr>
        <sz val="10"/>
        <rFont val="Arial"/>
        <family val="2"/>
      </rPr>
      <t>w Lamps)</t>
    </r>
  </si>
  <si>
    <r>
      <t>3L F32 RWT8 (Normal) (</t>
    </r>
    <r>
      <rPr>
        <b/>
        <sz val="10"/>
        <rFont val="Arial"/>
        <family val="2"/>
      </rPr>
      <t>25</t>
    </r>
    <r>
      <rPr>
        <sz val="10"/>
        <rFont val="Arial"/>
        <family val="2"/>
      </rPr>
      <t>w Lamps)</t>
    </r>
  </si>
  <si>
    <r>
      <t>4L F32 RWT8 (Normal) (</t>
    </r>
    <r>
      <rPr>
        <b/>
        <sz val="10"/>
        <rFont val="Arial"/>
        <family val="2"/>
      </rPr>
      <t>25</t>
    </r>
    <r>
      <rPr>
        <sz val="10"/>
        <rFont val="Arial"/>
        <family val="2"/>
      </rPr>
      <t>w Lamps)</t>
    </r>
  </si>
  <si>
    <r>
      <t>1L F32 RWT8 (High) (</t>
    </r>
    <r>
      <rPr>
        <b/>
        <sz val="10"/>
        <rFont val="Arial"/>
        <family val="2"/>
      </rPr>
      <t>25</t>
    </r>
    <r>
      <rPr>
        <sz val="10"/>
        <rFont val="Arial"/>
        <family val="2"/>
      </rPr>
      <t>w Lamps)</t>
    </r>
  </si>
  <si>
    <r>
      <t>2L F32 RWT8 (High) (</t>
    </r>
    <r>
      <rPr>
        <b/>
        <sz val="10"/>
        <rFont val="Arial"/>
        <family val="2"/>
      </rPr>
      <t>25</t>
    </r>
    <r>
      <rPr>
        <sz val="10"/>
        <rFont val="Arial"/>
        <family val="2"/>
      </rPr>
      <t>w Lamps)</t>
    </r>
  </si>
  <si>
    <r>
      <t>3L F32 RWT8 (High) (</t>
    </r>
    <r>
      <rPr>
        <b/>
        <sz val="10"/>
        <rFont val="Arial"/>
        <family val="2"/>
      </rPr>
      <t>25</t>
    </r>
    <r>
      <rPr>
        <sz val="10"/>
        <rFont val="Arial"/>
        <family val="2"/>
      </rPr>
      <t>w Lamps)</t>
    </r>
  </si>
  <si>
    <r>
      <t>4L F32 RWT8 (High) (</t>
    </r>
    <r>
      <rPr>
        <b/>
        <sz val="10"/>
        <rFont val="Arial"/>
        <family val="2"/>
      </rPr>
      <t>25</t>
    </r>
    <r>
      <rPr>
        <sz val="10"/>
        <rFont val="Arial"/>
        <family val="2"/>
      </rPr>
      <t>w Lamps)</t>
    </r>
  </si>
  <si>
    <t>3L F40 T8</t>
  </si>
  <si>
    <t>4L F40 T8</t>
  </si>
  <si>
    <t>1L F96T8 (57watt Lamps)</t>
  </si>
  <si>
    <t>1L F96T8 (59watt Lamps)</t>
  </si>
  <si>
    <t>2L F96T8 (57watt Lamps)</t>
  </si>
  <si>
    <t>2L F96T8 (59watt Lamps)</t>
  </si>
  <si>
    <t>3L F96T8 (59watt Lamps)</t>
  </si>
  <si>
    <t>4L F96T8 (59watt Lamps)</t>
  </si>
  <si>
    <t>1L FU32T8/6</t>
  </si>
  <si>
    <t>2L FU32T8/6</t>
  </si>
  <si>
    <t>3L FU32T8/6</t>
  </si>
  <si>
    <t>25 watt Lamp</t>
  </si>
  <si>
    <t>28 watt Lamp</t>
  </si>
  <si>
    <t>30 watt Lamp</t>
  </si>
  <si>
    <t>32 watt Lamp</t>
  </si>
  <si>
    <t>49 watt Lamp</t>
  </si>
  <si>
    <t>50 watt Lamp</t>
  </si>
  <si>
    <t>51 watt Lamp</t>
  </si>
  <si>
    <t>54 watt Lamp</t>
  </si>
  <si>
    <t>59 watt Lamp</t>
  </si>
  <si>
    <t>35 watt HPS</t>
  </si>
  <si>
    <t>50 watt HPS</t>
  </si>
  <si>
    <t>70 watt HPS</t>
  </si>
  <si>
    <t>100 watt HPS</t>
  </si>
  <si>
    <t>150 watt HPS</t>
  </si>
  <si>
    <t>200 watt HPS</t>
  </si>
  <si>
    <t>250 watt HPS</t>
  </si>
  <si>
    <t>310 watt HPS</t>
  </si>
  <si>
    <t>360 watt HPS</t>
  </si>
  <si>
    <t>400 watt HPS</t>
  </si>
  <si>
    <t>600 watt HPS</t>
  </si>
  <si>
    <t>750 watt HPS</t>
  </si>
  <si>
    <t>1000 watt HPS</t>
  </si>
  <si>
    <t>15W Incandescent</t>
  </si>
  <si>
    <t>25W Incandescent</t>
  </si>
  <si>
    <t>40W Incandescent</t>
  </si>
  <si>
    <t>55W Incandescent</t>
  </si>
  <si>
    <t>60W Incandescent</t>
  </si>
  <si>
    <t>65W Incandescent</t>
  </si>
  <si>
    <t>75W Incandescent</t>
  </si>
  <si>
    <t>100W Incandescent</t>
  </si>
  <si>
    <t>150W Incandescent</t>
  </si>
  <si>
    <t>Other Incandescent</t>
  </si>
  <si>
    <t>Enter Watts</t>
  </si>
  <si>
    <t>35 watt Induction Fixture</t>
  </si>
  <si>
    <t>55 watt Induction Fixture</t>
  </si>
  <si>
    <t>70 watt Induction Fixture</t>
  </si>
  <si>
    <t>85 watt Induction Fixture</t>
  </si>
  <si>
    <t>100 watt Induction Fixture</t>
  </si>
  <si>
    <t>120 watt Induction Fixture</t>
  </si>
  <si>
    <t>125 watt Induction Fixture</t>
  </si>
  <si>
    <t>150 watt Induction Fixture</t>
  </si>
  <si>
    <t>165 watt Induction Fixture</t>
  </si>
  <si>
    <t>200 watt Induction Fixture</t>
  </si>
  <si>
    <t>225 watt Induction Fixture</t>
  </si>
  <si>
    <t>250 watt Induction Fixture</t>
  </si>
  <si>
    <t>300 watt lnduction Fixture</t>
  </si>
  <si>
    <t>750 watt lnduction Fixture</t>
  </si>
  <si>
    <t>LED (ENERGY STAR Lamps)</t>
  </si>
  <si>
    <t>LED (ENERGY STAR Fixtures)</t>
  </si>
  <si>
    <t>LED (DLC Outdoor Pole/Arm-mounted Area &amp; Roadway Luminaires)</t>
  </si>
  <si>
    <t>LED (DLC Outdoor Pole/Arm-mounted Decorative Luminaires)</t>
  </si>
  <si>
    <t>LED (DLC Outdoor Full-Cutoff Wall-mounted Area Luminaires)</t>
  </si>
  <si>
    <t>LED (DLC Outdoor Non-Cutoff &amp; Semi-Cutoff Wall-mounted Area Luminaires)</t>
  </si>
  <si>
    <t>LED (DLC Bollards)</t>
  </si>
  <si>
    <t>LED (DLC Parking Garage Luminaires)</t>
  </si>
  <si>
    <t>LED (DLC Fuel Pump Canopy Luminaires)</t>
  </si>
  <si>
    <t>LED (DLC Landscape/Accent Flood &amp; Spot Luminaires)</t>
  </si>
  <si>
    <t>LED (DLC Architectural Flood &amp; Spot Luminaires)</t>
  </si>
  <si>
    <t>LED (DLC Stairwell &amp; Passageway Luminaires)</t>
  </si>
  <si>
    <t>LED (DLC Wall-wash Luminaires)</t>
  </si>
  <si>
    <t>LED (DLC Track or Mono-point Directional Luminaires)</t>
  </si>
  <si>
    <t>LED (DLC Vertical Refrigerated Case Luminaires-center)</t>
  </si>
  <si>
    <t>LED (DLC Vertical Refrigerated Case Luminaires-end)</t>
  </si>
  <si>
    <t>LED (DLC Horizontal Refrigerated Case Luminaires)</t>
  </si>
  <si>
    <t>LED (DLC Display Case Luminaires)</t>
  </si>
  <si>
    <t>LED (DLC 2x2 Luminaires-Ambient Lighting of Interior Comm. Spaces)</t>
  </si>
  <si>
    <t>LED (DLC 1x4 Luminaires-Ambient Lighting of Interior Comm. Spaces)</t>
  </si>
  <si>
    <t>LED (DLC 2x4 Luminaires-Ambient Lighting of Interior Comm. Spaces)</t>
  </si>
  <si>
    <t>LED (DLC Linear Ambient Luminaires w/ Indirect Component)</t>
  </si>
  <si>
    <t>LED (DLC Direct Linear Ambient Luminaires)</t>
  </si>
  <si>
    <t>LED (DLC High-bay Luminaires for C&amp;I Buildings)</t>
  </si>
  <si>
    <t>LED (DLC Low-bay Luminaires for C&amp;I Buildings)</t>
  </si>
  <si>
    <t>LED (DLC High-bay Aisle Luminaires)</t>
  </si>
  <si>
    <t>LED (DLC Retrofit Kits-Outdoor Pole/Arm-mounted Area &amp; Roadway Luminaires)</t>
  </si>
  <si>
    <t>LED (DLC Retrofit Kits-Outdoor Pole/Arm-mounted Decorative Luminaires)</t>
  </si>
  <si>
    <t>LED (DLC Retrofit Kits-Large Outdoor Pole/Arm-mounted Area &amp; Roadway Luminaires)</t>
  </si>
  <si>
    <t>LED (DLC Retrofit Kits-Full-Cutoff Outdoor Wall-mounted Area Luminaires)</t>
  </si>
  <si>
    <t>LED (DLC Retrofit Kits-Parking Garage Luminaires)</t>
  </si>
  <si>
    <t>LED (DLC Retrofit Kits-Fuel Pump Canopy Luminaires)</t>
  </si>
  <si>
    <t>LED (DLC Retrofit Kits-2x2 Luminaires-Ambient Lighting of Interior Comm. Spaces )</t>
  </si>
  <si>
    <t>LED (DLC Retrofit Kits-1x4 Luminaires-Ambient Lighting of Interior Comm. Spaces )</t>
  </si>
  <si>
    <t>LED (DLC Retrofit Kits-2x4 Luminaires-Ambient Lighting of Interior Comm. Spaces )</t>
  </si>
  <si>
    <t>LED (DLC Retrofit Kits-Direct Linear Ambient Luminaires)</t>
  </si>
  <si>
    <t>LED (DLC Retrofit Kits-High-bay Luminaires-C&amp;I Buildings)</t>
  </si>
  <si>
    <t>LED (DLC Retrofit Kits-Low-bay Luminaires-C&amp;I Buildings)</t>
  </si>
  <si>
    <t>LED (DLC Four-foot Linear Replacement Lamps )</t>
  </si>
  <si>
    <t>LED (DLC Two-foot Linear Replacement Lamps )</t>
  </si>
  <si>
    <t>LED (DLC Screw-base HID Lamp Replacement-Outdoor Pole/Arm-mounted Area &amp; Roadway Luminaires)</t>
  </si>
  <si>
    <t>LED (DLC Screw-base HID Lamp Replacement-Outdoor Pole/Arm-mounted Decorative Luminaires)</t>
  </si>
  <si>
    <t>LED (DLC Screw-base HID Lamp Replacement-Outdoor Full Cut-off Wall-mounted Area Luminaires)</t>
  </si>
  <si>
    <t>LED (DLC Screw-base HID Lamp Replacement-Parking Garage Luminaires)</t>
  </si>
  <si>
    <t>LED (DLC Screw-base HID Lamp Replacement-Fuel Pump Canopy Luminaires)</t>
  </si>
  <si>
    <t>LED (DLC Screw-base HID Lamp Replacement-High-bay Luminaires-C&amp;I Buildings)</t>
  </si>
  <si>
    <t>LED (DLC Screw-base HID Lamp Replacement-Low-bay Luminaires-C&amp;I Buildings)</t>
  </si>
  <si>
    <t>40 watt MV</t>
  </si>
  <si>
    <t>50 watt MV</t>
  </si>
  <si>
    <t>75 watt MV</t>
  </si>
  <si>
    <t>100 watt MV</t>
  </si>
  <si>
    <t>175 watt MV</t>
  </si>
  <si>
    <t>250 watt MV</t>
  </si>
  <si>
    <t>400 watt MV</t>
  </si>
  <si>
    <t>1000 watt MV</t>
  </si>
  <si>
    <t>20/22 watt MH</t>
  </si>
  <si>
    <t>32 watt MH</t>
  </si>
  <si>
    <t>35/39 watt MH</t>
  </si>
  <si>
    <t>50 watt MH</t>
  </si>
  <si>
    <t>70 watt MH</t>
  </si>
  <si>
    <t>100 watt MH</t>
  </si>
  <si>
    <t>150 watt MH</t>
  </si>
  <si>
    <t>175 watt MH</t>
  </si>
  <si>
    <t>200 watt MH</t>
  </si>
  <si>
    <t>250 watt MH</t>
  </si>
  <si>
    <t>400 watt MH</t>
  </si>
  <si>
    <t>1000 watt MH</t>
  </si>
  <si>
    <t>1500 watt MH</t>
  </si>
  <si>
    <t>1650 watt MH</t>
  </si>
  <si>
    <t>2000 watt MH</t>
  </si>
  <si>
    <t>50 watt PSMH</t>
  </si>
  <si>
    <t>70 watt PSMH</t>
  </si>
  <si>
    <t>100 watt PSMH</t>
  </si>
  <si>
    <t>125 watt PSMH</t>
  </si>
  <si>
    <t>150 watt PSMH</t>
  </si>
  <si>
    <t>175 watt PSMH</t>
  </si>
  <si>
    <t>200 watt PSMH</t>
  </si>
  <si>
    <t>250 watt PSMH</t>
  </si>
  <si>
    <t>320 watt PSMH</t>
  </si>
  <si>
    <t>350 watt PSMH</t>
  </si>
  <si>
    <t>400 watt PSMH</t>
  </si>
  <si>
    <t>450 watt PSMH</t>
  </si>
  <si>
    <t xml:space="preserve"> 750 watt PSMH</t>
  </si>
  <si>
    <t>775 watt PSMH</t>
  </si>
  <si>
    <t>875 watt PSMH</t>
  </si>
  <si>
    <t>1000 watt PSMH</t>
  </si>
  <si>
    <t>9mm Neon</t>
  </si>
  <si>
    <t>10mm Neon</t>
  </si>
  <si>
    <t>11mm Neon</t>
  </si>
  <si>
    <t>12mm Neon</t>
  </si>
  <si>
    <t>13mm Neon</t>
  </si>
  <si>
    <t>14mm Neon</t>
  </si>
  <si>
    <t>15mm Neon</t>
  </si>
  <si>
    <t>18mm Neon</t>
  </si>
  <si>
    <t>20mm Neon</t>
  </si>
  <si>
    <t>22mm Neon</t>
  </si>
  <si>
    <t>25mm Neon</t>
  </si>
  <si>
    <t>Other (Describe)</t>
  </si>
  <si>
    <t>NOTE: This tool is intended to estimate savings from lighting upgrades. Savings identified are not guaranteed and are for estimating purposes only.  A completed incentive application (and supporting documents) must be submitted to Focus on Energy to apply for any incentives identified. Applications must be submitted within 60 days of installation.  
This summary is not a guarantee of any incentive.
Users of the Small Biz Savings Estimator Tool are responsible for ensuring  selected fixtures, lamps, and controls meet the eligibility requirements listed in the Lighting Incentive Catalog (see focusonenergy.com/businesslighting for a copy). All incentives are subject to review and approval by Focus on Energy prior to payment of incentives. Incentives in the Savings Estimator are for projects installed by December 31, 2019.</t>
  </si>
  <si>
    <t xml:space="preserve">     Project Information</t>
  </si>
  <si>
    <t>Existing Input Watts</t>
  </si>
  <si>
    <t>Proposed Input Watts</t>
  </si>
  <si>
    <t>Payback (yrs) w/ Est. Incentive</t>
  </si>
  <si>
    <t>Small Biz Savings Estimator Tool</t>
  </si>
  <si>
    <t>Refrigeration Savings Opportunities</t>
  </si>
  <si>
    <t>2019 Refrigeration Incentive Catalog</t>
  </si>
  <si>
    <t xml:space="preserve">This tool is intended to estimate savings from refrigeration upgrades. Savings identified are not guaranteed and are for estimating purposes only.  A completed incentive application </t>
  </si>
  <si>
    <t>The default Electric and Gas Utility Rates can be edited if site-specific information is available. Gray shaded cells are calculations that do not require a user input.</t>
  </si>
  <si>
    <t>Enter Refrigeration Technology &amp; Quantities below. For ECM motors, actual hp can be entered to get a more precise estimate of the savings or the default savings can be used.</t>
  </si>
  <si>
    <t>The Incentive Code from the Focus on Energy Refrigeration Incentive Catalog is listed on each line. Users of the Small Biz Savings Estimator Tool are responsible for ensuring</t>
  </si>
  <si>
    <t xml:space="preserve">selected refrigeration technologies meet the requirements listed in the Commercial Refrigeration Incentive Catalog. </t>
  </si>
  <si>
    <t xml:space="preserve">All incentives are subject to review and approval by Focus on Energy prior to payment of incentives. </t>
  </si>
  <si>
    <t>Incentives in the Savings Estimator are for projects installed by December 31, 2019.</t>
  </si>
  <si>
    <t>See focusonenergy.com/businessrefrigeration for a copy of the 2019 Commercial Refrigeration Incentive Catalog.</t>
  </si>
  <si>
    <t>8)</t>
  </si>
  <si>
    <t xml:space="preserve">The Savings Estimator Tool only provides estimated incentives for prescriptive measures. Savings identified are estimates and are not guaranteed. </t>
  </si>
  <si>
    <t>Natural Gas Utility Rate ($/kWh):</t>
  </si>
  <si>
    <t xml:space="preserve">For custom measures, please contact your energy advisor. </t>
  </si>
  <si>
    <t>REFRIGERATION PROJECT INFORMATION</t>
  </si>
  <si>
    <t>Refrigeration Technology</t>
  </si>
  <si>
    <t>Unit of Measure</t>
  </si>
  <si>
    <t>Quantity</t>
  </si>
  <si>
    <t>HP per Motor
(if Applicable)</t>
  </si>
  <si>
    <t>Cost Each</t>
  </si>
  <si>
    <t>Total Cost</t>
  </si>
  <si>
    <t>Incentive Code from Refrigeration Catalog</t>
  </si>
  <si>
    <t>Incentive Rate</t>
  </si>
  <si>
    <t>Annual Therm Savings</t>
  </si>
  <si>
    <t>% of Project Cost Cap</t>
  </si>
  <si>
    <t>Allow savings override?</t>
  </si>
  <si>
    <t>New kW Savings each</t>
  </si>
  <si>
    <t>New kWh Savings each</t>
  </si>
  <si>
    <t>New Therms Savings each</t>
  </si>
  <si>
    <t>This is data from the Tech Review Spreadsheet's "Criteria" tab, limited to just small biz eligible measures</t>
  </si>
  <si>
    <t>Small Biz Catalog Code</t>
  </si>
  <si>
    <t>Measure Text</t>
  </si>
  <si>
    <t>Measure Code &amp; Name</t>
  </si>
  <si>
    <t>Criteria 1</t>
  </si>
  <si>
    <t>Criteria 2</t>
  </si>
  <si>
    <t>Criteria 3</t>
  </si>
  <si>
    <t>Criteria 4</t>
  </si>
  <si>
    <t>Criteria 5</t>
  </si>
  <si>
    <t>SBP Incentive per…</t>
  </si>
  <si>
    <t>SBP Measure ID</t>
  </si>
  <si>
    <t>SBP % of  Project Cost Limit</t>
  </si>
  <si>
    <t>Spectrum kW</t>
  </si>
  <si>
    <t>Spectrum Annual kWh</t>
  </si>
  <si>
    <t>Spectrum Annual Therms</t>
  </si>
  <si>
    <t>SBP FQM Measures</t>
  </si>
  <si>
    <t>----------------------LIGHTING CATALOG: INTERIOR FIXTURES AND LAMPS----------------------------</t>
  </si>
  <si>
    <t>N/A</t>
  </si>
  <si>
    <t>S-L4357:  LED fixtures/retrofit Kits upgrading existing equipment, fixture qty. modification, Interior</t>
  </si>
  <si>
    <t>S-L3111</t>
  </si>
  <si>
    <t>DLC-Listed LED 2' x 4' High Performance Troffer</t>
  </si>
  <si>
    <t>For replacement of 3- or 4-lamp T12 or standard T8 fluorescent</t>
  </si>
  <si>
    <t xml:space="preserve">Must be DLC listed in either "2x4 Luminaires for Ambient Lighting of Interior Commercial Spaces", … </t>
  </si>
  <si>
    <t>"Linear Retrofit Kits for 2X4 Luminaires”, or “Integrated Retrofit Kits for 2X4 Luminaires” primary use categories.</t>
  </si>
  <si>
    <t>New fixture must consume ≤ 55W</t>
  </si>
  <si>
    <t>Other LED configurations may qualify for a custom incentive.</t>
  </si>
  <si>
    <t>Fixture</t>
  </si>
  <si>
    <t>S-L4358:  LED fixtures/retrofit Kits upgrading existing equipment, fixture qty. modification, Exterior</t>
  </si>
  <si>
    <t>S-L3760</t>
  </si>
  <si>
    <t>DLC Listed LED, &lt;44W, 1X4 product replacing or instead of 1- or 2-lamp T8 or T12</t>
  </si>
  <si>
    <t>For replacement of 1- or 2-lamp T12 or standard T8 fluorescent.</t>
  </si>
  <si>
    <t xml:space="preserve">Must be DLC listed in either "1x4 Luminaires for Ambient Lighting of Interior Commercial Spaces", … </t>
  </si>
  <si>
    <t>“Linear Retrofit Kits for 1X4 Luminaires”, or “Integrated Retrofit Kits for 1X4 Luminaires” primary use categories.</t>
  </si>
  <si>
    <t>New fixture must consume ≤ 25W.</t>
  </si>
  <si>
    <t>S-L3400</t>
  </si>
  <si>
    <t>DLC Listed 2X2 LED, ≤36W, replacing or instead of Fixture with 2 or more T8 or T12 Lamps</t>
  </si>
  <si>
    <t>Must replace 2 or more T8 or T12 lamps</t>
  </si>
  <si>
    <t>Must be DLC listed in either "2x2 Luminaires for Ambient Lighting of Interior Commercial Spaces", …</t>
  </si>
  <si>
    <t>“Linear Retrofit Kits for 2X2 Luminaires” or “Integrated Retrofit Kits for 2X2 Luminaires” primary use categories.</t>
  </si>
  <si>
    <r>
      <t xml:space="preserve">New fixture must consume </t>
    </r>
    <r>
      <rPr>
        <sz val="11"/>
        <color theme="1"/>
        <rFont val="Calibri"/>
        <family val="2"/>
      </rPr>
      <t>≤</t>
    </r>
    <r>
      <rPr>
        <sz val="9.35"/>
        <color theme="1"/>
        <rFont val="Calibri"/>
        <family val="2"/>
      </rPr>
      <t xml:space="preserve"> </t>
    </r>
    <r>
      <rPr>
        <sz val="11"/>
        <color theme="1"/>
        <rFont val="Calibri"/>
        <family val="2"/>
        <scheme val="minor"/>
      </rPr>
      <t>36W.</t>
    </r>
  </si>
  <si>
    <t>S-L3401</t>
  </si>
  <si>
    <t>DLC Listed 2X2 LED, ≤85W, replacing or instead of Fixture with 2 or more 2G11 base Lamps</t>
  </si>
  <si>
    <t>Must replace 2 or more 2G11 base lamps (a.k.a. "Biax") with nominal lamp wattage of 40-55W</t>
  </si>
  <si>
    <r>
      <t xml:space="preserve">New fixture must consume </t>
    </r>
    <r>
      <rPr>
        <sz val="11"/>
        <color theme="1"/>
        <rFont val="Calibri"/>
        <family val="2"/>
      </rPr>
      <t>≤</t>
    </r>
    <r>
      <rPr>
        <sz val="9.35"/>
        <color theme="1"/>
        <rFont val="Calibri"/>
        <family val="2"/>
      </rPr>
      <t xml:space="preserve"> </t>
    </r>
    <r>
      <rPr>
        <sz val="11"/>
        <color theme="1"/>
        <rFont val="Calibri"/>
        <family val="2"/>
        <scheme val="minor"/>
      </rPr>
      <t>85W.</t>
    </r>
  </si>
  <si>
    <t>S-L4314</t>
  </si>
  <si>
    <t>4' 2-lamp TLED &lt;24W replacing 8' 1-lamp T8 or T12</t>
  </si>
  <si>
    <t>4314</t>
  </si>
  <si>
    <t>S-L4317</t>
  </si>
  <si>
    <t>4' 2-lamp TLED &lt;24W replacing 8' 1-lamp T8HO or T12HO</t>
  </si>
  <si>
    <t>4317</t>
  </si>
  <si>
    <t>S-L4320</t>
  </si>
  <si>
    <t>4' 4-lamp TLED &lt;24W replacing 8' 2-lamp T8 or T12</t>
  </si>
  <si>
    <t>4320</t>
  </si>
  <si>
    <t>S-L4323</t>
  </si>
  <si>
    <t>4' 4-lamp TLED &lt;24W replacing 8' 2-lamp T8HO or T12HO</t>
  </si>
  <si>
    <t>4323</t>
  </si>
  <si>
    <t>S-L4326</t>
  </si>
  <si>
    <t>4' 2-lamp TLED &lt;24W replacing 8' 2-lamp T8 or T12</t>
  </si>
  <si>
    <t>4326</t>
  </si>
  <si>
    <t>S-L4329</t>
  </si>
  <si>
    <t>4' 2-lamp TLED &lt;24W replacing 8' 2-lamp T8HO or T12HO</t>
  </si>
  <si>
    <t>4329</t>
  </si>
  <si>
    <t>S-L2276</t>
  </si>
  <si>
    <t>Permanently remove 4' T12 lamp</t>
  </si>
  <si>
    <t>Delamping of 4' T12 or T8 lamps only. 8' T12 or T8 or projects that include a reduction in fixture quantity may be eligible for custom incentives.</t>
  </si>
  <si>
    <t xml:space="preserve">Offer is in addition to RWT8 or 4' T8 LED lamp incentives where number of fixtures remains the same pre- and post-retrofit, … </t>
  </si>
  <si>
    <t>but one or more lamps are permanently removed from the fixture.</t>
  </si>
  <si>
    <t>Reservation code is required</t>
  </si>
  <si>
    <t>Removal of non-operational lamps does not qualify</t>
  </si>
  <si>
    <t>Lamp Removed</t>
  </si>
  <si>
    <t>S-L2277</t>
  </si>
  <si>
    <t>Permanently remove 4' T8 lamp</t>
  </si>
  <si>
    <t>S-L3320</t>
  </si>
  <si>
    <t>Permanently remove 8' T12 lamp</t>
  </si>
  <si>
    <t>Delamping of 8' T12 lamps only. 8' T8 or projects that include a reduction in fixture quantity may be eligible for custom incentives.</t>
  </si>
  <si>
    <t>S-L3091</t>
  </si>
  <si>
    <t>≤ 155W LED High Bay/Low Bay, replacing or instead of 250W HID</t>
  </si>
  <si>
    <t>Retrofit products must be listed on the DLC qualified product list under the High-Bay General Application and be permanently wired.</t>
  </si>
  <si>
    <t>New fixtures must be DLC listed under the High-Bay General Application.</t>
  </si>
  <si>
    <t>New luminaires or hardwired retrofits only. Integral ballast screw-based retrofit products of any technology are not eligible.</t>
  </si>
  <si>
    <t>All products must be intended for use in high bay or low bay applications.</t>
  </si>
  <si>
    <t>Fixture must consume ≤ 155W</t>
  </si>
  <si>
    <t>S-L3092</t>
  </si>
  <si>
    <t>≤ 250W LED High Bay/Low Bay, instead of 320-399W HID</t>
  </si>
  <si>
    <t>Fixture must consume ≤ 250W</t>
  </si>
  <si>
    <t>S-L3093</t>
  </si>
  <si>
    <t>≤ 250W LED High Bay/Low Bay, replacing 400W HID</t>
  </si>
  <si>
    <t>S-L3094</t>
  </si>
  <si>
    <t>≤ 365W LED High Bay/Low Bay, replacing 400W HID</t>
  </si>
  <si>
    <t>Fixture must consume ≤ 365W</t>
  </si>
  <si>
    <t>S-L3095</t>
  </si>
  <si>
    <t>≤ 500W LED High Bay/Low Bay, replacing or instead of 1000W HID</t>
  </si>
  <si>
    <t>All products must be intended for use in high bay or low bay applications. LED fixture must consume ≤ 500W.</t>
  </si>
  <si>
    <t>≤500W refers to LED total system watts and may consist of up to two fixtures replacing a single HID fixture.</t>
  </si>
  <si>
    <t>S-L3096</t>
  </si>
  <si>
    <t>≤ 800W LED High Bay/Low Bay, replacing or instead of 1000W HID</t>
  </si>
  <si>
    <t>All products must be intended for use in high bay or low bay applications. LED fixture must consume ≤ 800W.</t>
  </si>
  <si>
    <t>≤800W refers to LED total system watts and may consist of up to two fixtures replacing a single HID fixture.</t>
  </si>
  <si>
    <t>S-L3393</t>
  </si>
  <si>
    <t>≤180W LED High Bay/Low Bay, replacing or instead of 6L T8 or 4L T5HO</t>
  </si>
  <si>
    <t>3393</t>
  </si>
  <si>
    <t>S-L4347</t>
  </si>
  <si>
    <t>≤250W LED High Bay/Low Bay, replacing or instead of 8L T8 or 6L T5HO</t>
  </si>
  <si>
    <t>4347</t>
  </si>
  <si>
    <t>S-L4354</t>
  </si>
  <si>
    <t>LED Downlight Fixtures replacing or instead of Incandescent, CFL or HID fixture (See system wattage table on pg. 61 of Lighting Catalog for baseline inputs)</t>
  </si>
  <si>
    <t>Watt Reduced</t>
  </si>
  <si>
    <t>4354</t>
  </si>
  <si>
    <t>S-L3903</t>
  </si>
  <si>
    <t>Interior LED Signage</t>
  </si>
  <si>
    <t>Must be ≥30% wattage reduction to qualify. Intended for LED upgrades from incand, HID, fluorescent or neon interior commercial signage.</t>
  </si>
  <si>
    <t>Applications include, but are not limited to, channel lettering, backlit displays and menu boards.</t>
  </si>
  <si>
    <t>Signs illuminated by screw-in or pin-based lamps should refer to replacement lamp incentives in Lighting Incentive Catalog.</t>
  </si>
  <si>
    <t>Clear documentation (spec sheets, sign schematics, photos) of existing equip or metering data (volts &amp; amps) MUST be provided to qualify.</t>
  </si>
  <si>
    <t>Replacement lamp products that intend to use existing sockets or lamp holders are not eligible for these measures.</t>
  </si>
  <si>
    <t>S-L3097</t>
  </si>
  <si>
    <t>LED Stairwell or Passageway Fixture</t>
  </si>
  <si>
    <t>Must be DLC listed in the “Stairwell and Passageway Luminaires” primary use category and operate at ≤55W in high/ occupied state.</t>
  </si>
  <si>
    <t>Must replace 2 lamp 4' fluorescent fixture w/ complete, new LED fixture including integrated, remote or on-board occ sensor system.</t>
  </si>
  <si>
    <t>Must utilize a passive infrared and/or ultrasonic occupancy sensor with a fail-safe feature (fails in ON position).</t>
  </si>
  <si>
    <t>Must operate in low standby light level during vacancy (at &lt; 50% of full wattage) and switch to high light output upon occupancy.</t>
  </si>
  <si>
    <t>Fixtures whose settings can be overridden &amp; screw-in lamps DNQ. Incentive can't be combined w/ other incentives for controls or fixtures.</t>
  </si>
  <si>
    <t>S-L4357</t>
  </si>
  <si>
    <t>LED fixtures/retrofit Kits upgrading existing equipment, fixture qty. modification, Interior</t>
  </si>
  <si>
    <t>Replacement equipment must be DLC listed or ENERGY STAR rated.</t>
  </si>
  <si>
    <t xml:space="preserve">For the replacement or retrofit of existing equipment only. </t>
  </si>
  <si>
    <t>Replacement lamp products utilizing existing sockets of any kind are not eligible.</t>
  </si>
  <si>
    <t>Scope of Work detailing the pre- and post-lighting conditions required.</t>
  </si>
  <si>
    <t>S-L3952</t>
  </si>
  <si>
    <t>ENERGY STAR Omnidirectional/Decorative LED Lamp, 1,600-1,999 lumens, Interior</t>
  </si>
  <si>
    <t>Must appear on ENERGY STAR certified light bulbs qualified product list under Omnidirectional or Decorative Lamp Category.</t>
  </si>
  <si>
    <t>One-for-one replacement of INTERIOR incandescent or CFL only (see measures L3947 to L3951 for exterior lamps).</t>
  </si>
  <si>
    <t>Lamps may not be used for resale or giveaway-type promotions. Lamps sold at participating instant discount retailers are not eligible.</t>
  </si>
  <si>
    <t>LED lamp must contain integral driver and meet 1,600-1,999 rated lumen requirement.</t>
  </si>
  <si>
    <t>Incentive limited to 50% of retail product cost (amount paid by customer excluding Focus incentive credit, shipping and sales tax).</t>
  </si>
  <si>
    <t>Lamp</t>
  </si>
  <si>
    <t>S-L3953</t>
  </si>
  <si>
    <t>ENERGY STAR Omnidirectional/Decorative LED Lamp, 1,100-1,599 lumens, Interior</t>
  </si>
  <si>
    <t>LED lamp must contain integral driver and meet 1,100-1,599 rated lumen requirement.</t>
  </si>
  <si>
    <t>S-L3954</t>
  </si>
  <si>
    <t>ENERGY STAR Omnidirectional/Decorative LED Lamp, 800-1,099 lumens, Interior</t>
  </si>
  <si>
    <t>LED lamp must contain integral driver and meet 800-1,099 rated lumen requirement.</t>
  </si>
  <si>
    <t>S-L3955</t>
  </si>
  <si>
    <t>ENERGY STAR Omnidirectional/Decorative LED Lamp, 450-799 lumens, Interior</t>
  </si>
  <si>
    <t>LED lamp must contain integral driver and meet 450-799 rated lumen requirement.</t>
  </si>
  <si>
    <t>S-L3956</t>
  </si>
  <si>
    <t>ENERGY STAR Omnidirectional/Decorative LED Lamp, 250-449 lumens, Interior</t>
  </si>
  <si>
    <t>LED lamp must contain integral driver and meet 250-449 rated lumen requirement.</t>
  </si>
  <si>
    <t>S-L3941</t>
  </si>
  <si>
    <t>ENERGY STAR Directional LED replacing incandescent 120W – 250W, Interior</t>
  </si>
  <si>
    <t>Must appear on ENERGY STAR certified light bulbs qualified product list under Directional Lamp Category.</t>
  </si>
  <si>
    <t>One-for-one replacement of INTERIOR incandescent only (see measures L3935 to L3940 for exterior lamps).</t>
  </si>
  <si>
    <t>LED lamp must contain integral driver and replace 120-250W incandescent.</t>
  </si>
  <si>
    <t>S-L3942</t>
  </si>
  <si>
    <t>ENERGY STAR Directional LED replacing incandescent 100W – 119W, Interior</t>
  </si>
  <si>
    <t>LED lamp must contain integral driver and replace 100-119W incandescent.</t>
  </si>
  <si>
    <t>S-L3943</t>
  </si>
  <si>
    <t>ENERGY STAR Directional LED replacing incandescent 75W – 99W, Interior</t>
  </si>
  <si>
    <t>LED lamp must contain integral driver and replace 75-99W incandescent.</t>
  </si>
  <si>
    <t>S-L3944</t>
  </si>
  <si>
    <t>ENERGY STAR Directional LED replacing incandescent 55W – 74W, Interior</t>
  </si>
  <si>
    <t>LED lamp must contain integral driver and replace 55-74W incandescent.</t>
  </si>
  <si>
    <t>S-L3945</t>
  </si>
  <si>
    <t>ENERGY STAR Directional LED replacing incandescent 36W – 54W, Interior</t>
  </si>
  <si>
    <t>LED lamp must contain integral driver and replace 36-54W incandescent.</t>
  </si>
  <si>
    <t>S-L3946</t>
  </si>
  <si>
    <t>ENERGY STAR Directional LED replacing incandescent ≤ 35W, Interior</t>
  </si>
  <si>
    <t>LED lamp must contain integral driver and replace ≤35W incandescent.</t>
  </si>
  <si>
    <t>S-L3932</t>
  </si>
  <si>
    <t>ENERGY STAR Directional LED replacing CFL ≥ 23W, Interior</t>
  </si>
  <si>
    <t>One-for-one replacement of INTERIOR incandescent only (see measures L3929 to L3931 for exterior lamps).</t>
  </si>
  <si>
    <t>LED lamp must contain integral driver and replace ≥23W CFL.</t>
  </si>
  <si>
    <t>S-L3933</t>
  </si>
  <si>
    <t>ENERGY STAR Directional LED replacing CFL 14W – 22W, Interior</t>
  </si>
  <si>
    <t>LED lamp must contain integral driver and replace 14-22W CFL.</t>
  </si>
  <si>
    <t>S-L3934</t>
  </si>
  <si>
    <t>ENERGY STAR Directional LED replacing CFL ≤ 13W, Interior</t>
  </si>
  <si>
    <t>LED lamp must contain integral driver and replace ≤13W CFL.</t>
  </si>
  <si>
    <t>S-L3962</t>
  </si>
  <si>
    <t>DLC listed, Mogul Screw-Base (E39) lamp replacing HID</t>
  </si>
  <si>
    <t>Watts Reduced</t>
  </si>
  <si>
    <t>3962</t>
  </si>
  <si>
    <t>S-L3511</t>
  </si>
  <si>
    <t>4' LED Lamp: Replace 4’ T8 or T12 Lamp, External Driver (UL Type C)</t>
  </si>
  <si>
    <t>Must be DLC listed in the Four-Foot Linear Replacement Lamps General Application.</t>
  </si>
  <si>
    <t>DLC rated wattage lissting must be ≤ 24W per lamp</t>
  </si>
  <si>
    <t>Measures MAY be combined with delamping incentives, but MAY NOT be combined with fixture incentives.</t>
  </si>
  <si>
    <t>Measures are not intended for refrigerated display case applications</t>
  </si>
  <si>
    <t>Limited to 50% of the retail product cost (cost excluding incentive, shipping, and sales tax)</t>
  </si>
  <si>
    <t>S-L3759</t>
  </si>
  <si>
    <t>4' LED Lamp: Replace 4’ T8 or T12 Lamp, Direct Wire (UL Type B)</t>
  </si>
  <si>
    <t>S-L3512</t>
  </si>
  <si>
    <t>4' LED Lamp: Replace 4’ T8 Lamp, Utilizing Existing Ballast (UL Type A)</t>
  </si>
  <si>
    <t>S-L4793</t>
  </si>
  <si>
    <t>DLC Listed LED, &lt;44W, 2X4 product replacing or instead of 1- or 2-lamp T8 or T12</t>
  </si>
  <si>
    <t>S-L4813</t>
  </si>
  <si>
    <t>LED track/mono/accent fixtures replacing incandescent, CFL, or HID fixture (see system wattage table on pg. 61 for baseline inputs)</t>
  </si>
  <si>
    <t>S-L4779</t>
  </si>
  <si>
    <t>Four Pin-Base Lamp Replacing CFL</t>
  </si>
  <si>
    <t>S-L4803</t>
  </si>
  <si>
    <t>LED Replacement of 4' T5 Lamp w/External Driver (UL Type C)</t>
  </si>
  <si>
    <t>S-L4804</t>
  </si>
  <si>
    <t>LED Replacement of 4' T5HO Lamp w/External Driver (UL Type C)</t>
  </si>
  <si>
    <t>S-L4805</t>
  </si>
  <si>
    <t>LED Replacement of 4' T5 Lamp, Direct Wire (UL Type B)</t>
  </si>
  <si>
    <t>S-L4806</t>
  </si>
  <si>
    <t>LED Replacement of 4' T5HO Lamp, Direct Wire (UL Type B)</t>
  </si>
  <si>
    <t>S-L4807</t>
  </si>
  <si>
    <t>LED Replacement of 4' T5 Lamp Utilizing Existing Ballast (UL Type A)</t>
  </si>
  <si>
    <t>S-L4808</t>
  </si>
  <si>
    <t>LED Replacement of 4' T5HO Lamp Utilizing Existing Ballast (UL Type A)</t>
  </si>
  <si>
    <t>S-L4797</t>
  </si>
  <si>
    <t>LED Replacement of 2'T8 or T12 Lamp w/External Driver (UL Type C)</t>
  </si>
  <si>
    <t>S-L4798</t>
  </si>
  <si>
    <t>LED Replacement of 2'T8 or T12 Lamp, Direct Wire (UL Type B)</t>
  </si>
  <si>
    <t>S-L4799</t>
  </si>
  <si>
    <t>LED Replacement of 2'T8 or T12 Lamp Utilizing Existing Ballast (UL Type A)</t>
  </si>
  <si>
    <t>S-L4800</t>
  </si>
  <si>
    <t>LED Replacement of U-Bend T8 or T12 Lamp w/External Driver (UL Type C)</t>
  </si>
  <si>
    <t>S-L4801</t>
  </si>
  <si>
    <t>LED Replacement of U-Bend T8 or T12 Lamp, Direct Wire (UL Type B)</t>
  </si>
  <si>
    <t>S-L4802</t>
  </si>
  <si>
    <t>LED Replacement of U-Bend T8 or T12 Lamp Utilizing Existing Ballast (UL Type A)</t>
  </si>
  <si>
    <t>S-L4809</t>
  </si>
  <si>
    <t>LED Replacement of 8'T8 or T12 Lamp w/External Driver (UL Type C)</t>
  </si>
  <si>
    <t>S-L4810</t>
  </si>
  <si>
    <t>LED Replacement of 8'T8 or T12 Lamp, Direct Wire (UL Type B)</t>
  </si>
  <si>
    <t>S-L4811</t>
  </si>
  <si>
    <t>LED Replacement of 8'T8 or T12 Lamp Utilizing Existing Ballast (UL Type A)</t>
  </si>
  <si>
    <t>----------------------LIGHTING CATALOG: EXTERIOR FIXTURES AND LAMPS----------------------------</t>
  </si>
  <si>
    <t>S-L4280</t>
  </si>
  <si>
    <t>Outdoor – Low Output ≤4,999 lumens</t>
  </si>
  <si>
    <t>4280</t>
  </si>
  <si>
    <t>S-L4281</t>
  </si>
  <si>
    <t>Outdoor – Mid Output 5,000 – 9,999 lumens</t>
  </si>
  <si>
    <t>4281</t>
  </si>
  <si>
    <t>S-L4282</t>
  </si>
  <si>
    <t>Outdoor – High Output 10,000 – 29,999 lumens</t>
  </si>
  <si>
    <t>4282</t>
  </si>
  <si>
    <t>S-L4283</t>
  </si>
  <si>
    <t>Outdoor – Very High Output ≥30,000 lumens</t>
  </si>
  <si>
    <t>4283</t>
  </si>
  <si>
    <t>S-L4356</t>
  </si>
  <si>
    <t>4356</t>
  </si>
  <si>
    <t>S-L3904</t>
  </si>
  <si>
    <t>Exterior LED Signage</t>
  </si>
  <si>
    <t>Must be ≥30% wattage reduction to qualify. Intended for LED upgrades from incandescent, HID, fluorescent or neon exterior commercial signage</t>
  </si>
  <si>
    <t>Applications include, but are not limited to channel lettering, backlit displays and menu boards.</t>
  </si>
  <si>
    <t>Signs illuminated by flood fixtures should refer to flood fixture incentives in Lighting Catalog.</t>
  </si>
  <si>
    <t>S-L4316</t>
  </si>
  <si>
    <t>4' 2-lamp TLED &lt;24W replacing 8' 1-lamp T8 or T12, 24 Hour</t>
  </si>
  <si>
    <t>4316</t>
  </si>
  <si>
    <t>S-L4315</t>
  </si>
  <si>
    <t>4' 2-lamp TLED &lt;24W replacing 8' 1-lamp T8 or T12, 12 Hour</t>
  </si>
  <si>
    <t>4315</t>
  </si>
  <si>
    <t>S-L4319</t>
  </si>
  <si>
    <t>4' 2-lamp TLED &lt;24W replacing 8' 1-lamp T8HO or T12HO, 24 Hour</t>
  </si>
  <si>
    <t>4319</t>
  </si>
  <si>
    <t>S-L4318</t>
  </si>
  <si>
    <t>4' 2-lamp TLED &lt;24W replacing 8' 1-lamp T8HO or T12HO, 12 Hour</t>
  </si>
  <si>
    <t>4318</t>
  </si>
  <si>
    <t>S-L4322</t>
  </si>
  <si>
    <t>4’ 4-lamp TLED &lt;24W replacing 8' 2-lamp T8 or T12, 24 Hour</t>
  </si>
  <si>
    <t>4322</t>
  </si>
  <si>
    <t>S-L4321</t>
  </si>
  <si>
    <t>4’ 4-lamp TLED &lt;24W replacing 8' 2-lamp T8 or T12, 12 Hour</t>
  </si>
  <si>
    <t>4321</t>
  </si>
  <si>
    <t>S-L4325</t>
  </si>
  <si>
    <t>4' 4-lamp TLED &lt;24W replacing 8' 2-lamp T8HO or T12HO, 24 Hour</t>
  </si>
  <si>
    <t>4325</t>
  </si>
  <si>
    <t>S-L4324</t>
  </si>
  <si>
    <t>4' 4-lamp TLED &lt;24W replacing 8' 2-lamp T8HO or T12HO, 12 Hour</t>
  </si>
  <si>
    <t>4324</t>
  </si>
  <si>
    <t>S-L4328</t>
  </si>
  <si>
    <t>4' 2-lamp TLED &lt;24W replacing 8' 2-lamp T8 or T12, 24 Hour</t>
  </si>
  <si>
    <t>4328</t>
  </si>
  <si>
    <t>S-L4327</t>
  </si>
  <si>
    <t>4' 2-lamp TLED &lt;24W replacing 8' 2-lamp T8 or T12, 12 Hour</t>
  </si>
  <si>
    <t>4327</t>
  </si>
  <si>
    <t>S-L4331</t>
  </si>
  <si>
    <t>4' 2-lamp TLED &lt;24W replacing 8' 2-lamp T8HO or T12HO, 24 Hour</t>
  </si>
  <si>
    <t>4331</t>
  </si>
  <si>
    <t>S-L4330</t>
  </si>
  <si>
    <t>4' 2-lamp TLED &lt;24W replacing 8' 2-lamp T8HO or T12HO, 12 Hour</t>
  </si>
  <si>
    <t>4330</t>
  </si>
  <si>
    <t>S-L4358</t>
  </si>
  <si>
    <t>LED fixtures/retrofit Kits upgrading existing equipment, fixture qty. modification, Exterior</t>
  </si>
  <si>
    <t>4358</t>
  </si>
  <si>
    <t>S-L3963</t>
  </si>
  <si>
    <t>3963</t>
  </si>
  <si>
    <t>S-L3947</t>
  </si>
  <si>
    <t>ENERGY STAR LED with rated lumen output of 1,600-1,999 replacing or instead of incandescent or CFL</t>
  </si>
  <si>
    <t>3947</t>
  </si>
  <si>
    <t>S-L3948</t>
  </si>
  <si>
    <t>ENERGY STAR LED with rated lumen output of 1,100-1,599 replacing or instead of incandescent or CFL</t>
  </si>
  <si>
    <t>3948</t>
  </si>
  <si>
    <t>S-L3949</t>
  </si>
  <si>
    <t>ENERGY STAR LED with rated lumen output of 800-1,099 replacing or instead of incandescent or CFL</t>
  </si>
  <si>
    <t>3949</t>
  </si>
  <si>
    <t>S-L3950</t>
  </si>
  <si>
    <t>ENERGY STAR LED with rated lumen output of 450-799 replacing or instead of incandescent or CFL</t>
  </si>
  <si>
    <t>3950</t>
  </si>
  <si>
    <t>S-L3951</t>
  </si>
  <si>
    <t>ENERGY STAR LED with rated lumen output of 250-449 replacing or instead of incandescent or CFL</t>
  </si>
  <si>
    <t>3951</t>
  </si>
  <si>
    <t>S-L3935</t>
  </si>
  <si>
    <t>ENERGY STAR LED replacing incandescent 120W – 250W</t>
  </si>
  <si>
    <t>3935</t>
  </si>
  <si>
    <t>S-L3936</t>
  </si>
  <si>
    <t>ENERGY STAR LED replacing incandescent 100W – 119W</t>
  </si>
  <si>
    <t>3936</t>
  </si>
  <si>
    <t>S-L3937</t>
  </si>
  <si>
    <t>ENERGY STAR LED replacing incandescent 75W – 99W</t>
  </si>
  <si>
    <t>3937</t>
  </si>
  <si>
    <t>S-L3938</t>
  </si>
  <si>
    <t>ENERGY STAR LED replacing incandescent 55W – 74W</t>
  </si>
  <si>
    <t>3938</t>
  </si>
  <si>
    <t>S-L3939</t>
  </si>
  <si>
    <t>ENERGY STAR LED replacing incandescent 36W – 54W</t>
  </si>
  <si>
    <t>3939</t>
  </si>
  <si>
    <t>S-L3940</t>
  </si>
  <si>
    <t>ENERGY STAR LED replacing incandescent ≤ 35W</t>
  </si>
  <si>
    <t>3940</t>
  </si>
  <si>
    <t>S-L3929</t>
  </si>
  <si>
    <t>ENERGY STAR LED replacing or instead of CFL ≥ 23W</t>
  </si>
  <si>
    <t>3929</t>
  </si>
  <si>
    <t>S-L3930</t>
  </si>
  <si>
    <t>ENERGY STAR LED replacing or instead of CFL 14W – 22W</t>
  </si>
  <si>
    <t>3930</t>
  </si>
  <si>
    <t>S-L3931</t>
  </si>
  <si>
    <t>ENERGY STAR LED replacing or instead of CFL ≤ 13W</t>
  </si>
  <si>
    <t>3931</t>
  </si>
  <si>
    <t>S-L4353</t>
  </si>
  <si>
    <t>24 Hour, LED Replacement of 4' T8 or T12 Lamp w/External Driver (UL Type C)</t>
  </si>
  <si>
    <t>4353</t>
  </si>
  <si>
    <t>S-L4351</t>
  </si>
  <si>
    <t>24 Hour, LED Replacement of 4' T8 or T12 Lamp, Direct Wire (UL Type B)</t>
  </si>
  <si>
    <t>4351</t>
  </si>
  <si>
    <t>S-L4349</t>
  </si>
  <si>
    <t>24 Hour, LED Replacement of 4' T8 Lamp Utilizing Existing Ballast (UL Type A)</t>
  </si>
  <si>
    <t>4349</t>
  </si>
  <si>
    <t>S-L4352</t>
  </si>
  <si>
    <t>Dusk to Dawn, Hour, LED Replacement of 4' T8 or T12 Lamp w/External Driver (UL Type C)</t>
  </si>
  <si>
    <t>4352</t>
  </si>
  <si>
    <t>S-L4350</t>
  </si>
  <si>
    <t>Dusk to Dawn, LED Replacement of 4' T8 or T12 Lamp, Direct Wire (UL Type B)</t>
  </si>
  <si>
    <t>4350</t>
  </si>
  <si>
    <t>S-L4348</t>
  </si>
  <si>
    <t>Dusk to Dawn, LED Replacement of 4' T8 Lamp Utilizing Existing Ballast (UL Type A)</t>
  </si>
  <si>
    <t>4348</t>
  </si>
  <si>
    <t>----------------------LIGHTING CATALOG: CONTROLS----------------------------</t>
  </si>
  <si>
    <t>S-L3251</t>
  </si>
  <si>
    <t>Exterior and Parking Garage Bi-Level Controls, Dusk to Dawn</t>
  </si>
  <si>
    <t>Controls must be occupancy or occupancy-schedule based and may include dimming, stepped dimming or high/low balalst controls.</t>
  </si>
  <si>
    <t>If passive infrared and/or ultrasonic occupancy sensors are used, system must have a fail-safe feature (fails in "on" position).</t>
  </si>
  <si>
    <t>Fixtures must operate in a low-standby light level when low occupancy, and cannot exceed 50% of full wattage during unoccupied periods</t>
  </si>
  <si>
    <t>Fixture Controlled</t>
  </si>
  <si>
    <t>S-L3252</t>
  </si>
  <si>
    <t>Parking Garage Bi-Level Controls, 24 Hour</t>
  </si>
  <si>
    <t>S-L3253</t>
  </si>
  <si>
    <t>Photocell with Internal Timer or Wireless Schedule</t>
  </si>
  <si>
    <t>Add fixture-mounted twist lock or other schedulable controls on ext. lighting to reduce run hrs when low/no occupancy (overnight)</t>
  </si>
  <si>
    <t>Must be used on HID, LED, induction or fluorescent lighting</t>
  </si>
  <si>
    <t>Scheduling must turn off lights for at least 4 hours/night. May incorporate occupancy sensors to provide an override for security/safety reasons.</t>
  </si>
  <si>
    <t>May be combined with exterior bi-level controls incentive if programmed to reduce operating hours by min. of 4 hours, …</t>
  </si>
  <si>
    <t xml:space="preserve">… and provide bi-level controls as described in incentive requirements. Timers DNQ, but may be eligible for custom. </t>
  </si>
  <si>
    <t>S-L3406</t>
  </si>
  <si>
    <t>Daylighting Controls</t>
  </si>
  <si>
    <t>Must be step dimmed with at least one level in addition to full power and off or continuous dimming controls.</t>
  </si>
  <si>
    <t>Specification sheets for controls and fixtures controlled must be submitted with the application.</t>
  </si>
  <si>
    <t>Inventory of fixtures controlled (w/ qty, fixture type,  # of lamps/fixture) by space type or lighting diagram must be submitted w/ the application.</t>
  </si>
  <si>
    <t>For retrofit situations where spec sheets aren't available for existing fixtures, program default wattages will be used for calculating incentives.</t>
  </si>
  <si>
    <t>Retrofits may be combined with additional incentive for occupancy sensors.</t>
  </si>
  <si>
    <t>Watt Controlled</t>
  </si>
  <si>
    <t>S-L3978</t>
  </si>
  <si>
    <t>High Bay On/Off Occupancy Sensor Control</t>
  </si>
  <si>
    <t>Sensors must be ultrasonic, passive infrared or dual technology and rated for controlling high bay fixtures.</t>
  </si>
  <si>
    <t>Eligible sensors include high wall, ceiling, or fixture mounted sensors designed for controlling fixtures in high or low bay applications.</t>
  </si>
  <si>
    <t>Sensors may control more than one fixture. Socket-based occupancy sensors do not qualify.</t>
  </si>
  <si>
    <t>Timers do not qualify for prescriptive incentives, but may be eligible for custom incentives.</t>
  </si>
  <si>
    <t>Sensors must provide on/off control of fixtures.</t>
  </si>
  <si>
    <t>S-L3979</t>
  </si>
  <si>
    <t>High Bay Bi-Level Occupancy Control</t>
  </si>
  <si>
    <t>Sensors must provide high/low control of fixtures.</t>
  </si>
  <si>
    <t>S-L4812</t>
  </si>
  <si>
    <t>Non-High Bay Occupancy/Vacancy Sensor</t>
  </si>
  <si>
    <t>-----------------------COMMERCIAL REFRIGERATION CATALOG: NON-SELF CONTAINED-----------------------</t>
  </si>
  <si>
    <t>repeat code</t>
  </si>
  <si>
    <t>Savings Override</t>
  </si>
  <si>
    <t>Default Size</t>
  </si>
  <si>
    <t>S-R2236</t>
  </si>
  <si>
    <t>Case Door, Cooler, No-Heat</t>
  </si>
  <si>
    <t>Door</t>
  </si>
  <si>
    <t>No</t>
  </si>
  <si>
    <t>S-R2234</t>
  </si>
  <si>
    <t>Case Door, Freezer, Low-Heat</t>
  </si>
  <si>
    <t>S-R2235</t>
  </si>
  <si>
    <t>Case Door, Freezer, No-Heat</t>
  </si>
  <si>
    <t>S-R2308</t>
  </si>
  <si>
    <t>ECM Evaporator Fan Motor, Walk-In Cooler, &lt; 1/20 hp</t>
  </si>
  <si>
    <t>Incentives are for ECMs or brushless direct current (DC) fan motors replacing shaded pole (SP) or permanent split capacitor (PSC) motors.</t>
  </si>
  <si>
    <t>For retrofit of existing walk-in evaporators &amp; replacing existing functional walk-ins with new walk-ins.</t>
  </si>
  <si>
    <t>Incentive is not available when replacing non-operational walk-ins or for new construction</t>
  </si>
  <si>
    <t>New motors must be designed specifically for use in evaporators</t>
  </si>
  <si>
    <t>Motor</t>
  </si>
  <si>
    <t>Yes</t>
  </si>
  <si>
    <t>S-R2309</t>
  </si>
  <si>
    <t>ECM Evaporator Fan Motor, Walk-In Cooler, 1/20 - 1 hp</t>
  </si>
  <si>
    <t>S-R2310</t>
  </si>
  <si>
    <t>ECM Evaporator Fan Motor, Walk-In Freezer, &lt; 1/20 hp</t>
  </si>
  <si>
    <t>S-R2311</t>
  </si>
  <si>
    <t>ECM Evaporator Fan Motor, Walk-In Freezer, 1/20 - 1 hp</t>
  </si>
  <si>
    <t>S-R2312</t>
  </si>
  <si>
    <t>ECM Motor, Cooler/Freezer Case</t>
  </si>
  <si>
    <t>For retrofit of existing display cases &amp; replacing existing functional display cases with new display cases.</t>
  </si>
  <si>
    <t>Incentive is not available when replacing non-operational reach-in coolers/freezers or for new construction</t>
  </si>
  <si>
    <t>S-R4284</t>
  </si>
  <si>
    <t>Permanent Magnet Synchronous Motor, Cooler/Freezer Case</t>
  </si>
  <si>
    <t>S-R2306</t>
  </si>
  <si>
    <t>ECM Compressor Fan Motor</t>
  </si>
  <si>
    <t>Must be used in conjunction with air-cooled condensers and compressors</t>
  </si>
  <si>
    <t>Not eligible for installation in redundant or backup equipment</t>
  </si>
  <si>
    <t>Approx. Based on old workpaper Excel which showed 1/20, 1/15, 1/10, 1/6, and 1/3 hp, with two smallest being 25% each and remaining 3 being 16.667% each</t>
  </si>
  <si>
    <t>S-R2307</t>
  </si>
  <si>
    <t>ECM Condenser / Condensing Unit Fan Motor</t>
  </si>
  <si>
    <t>Assumed same split as MMID 2306 since both combined into 1 new workpaper with same savings</t>
  </si>
  <si>
    <t>S-R3114</t>
  </si>
  <si>
    <t>LED, Horizontal Case Lighting, replacing or instead of Linear Fluorescent</t>
  </si>
  <si>
    <t>If new case, must provide specs for case w/o LED that meets current DOE requirements (proof alternate case was considered)</t>
  </si>
  <si>
    <t>Limited to LED fixtures on reach-in refrigerated cases; self-contained refrigerated merchandisers qualify if over 5 ft in length.</t>
  </si>
  <si>
    <t>Complete make and model numbers must be included on invoicing in order to be eligible for an incentive</t>
  </si>
  <si>
    <t>DLC listed under Display Case Luminares, Horizontal Refrigerated Case Luminaires (horiz LED incentives only), …</t>
  </si>
  <si>
    <t>…  or Vertical Refrigerated Case Luminaires (vert LED incentives only) primary use category</t>
  </si>
  <si>
    <t>Linear Ft of Lamps</t>
  </si>
  <si>
    <t>S-R2456</t>
  </si>
  <si>
    <t>LED, Vertical Case Lighting, replacing or instead of Linear Fluorescent</t>
  </si>
  <si>
    <t>DLC listed under Display Case Luminares, Horizontal Refrigerated Case Luminaires (horiz only), …</t>
  </si>
  <si>
    <t>…  or Vertical Refrigerated Case Luminaires (vert only) primary use category</t>
  </si>
  <si>
    <t>S-R2509</t>
  </si>
  <si>
    <t>Reach-In Refrigerated Case w/ Doors replacing or instead of Open Multideck Case</t>
  </si>
  <si>
    <r>
      <t xml:space="preserve">Existing cases must be open multideck-style, </t>
    </r>
    <r>
      <rPr>
        <sz val="11"/>
        <color theme="1"/>
        <rFont val="Calibri"/>
        <family val="2"/>
      </rPr>
      <t xml:space="preserve">≥ </t>
    </r>
    <r>
      <rPr>
        <sz val="11"/>
        <color theme="1"/>
        <rFont val="Calibri"/>
        <family val="2"/>
        <scheme val="minor"/>
      </rPr>
      <t xml:space="preserve">6' tall w/o doors, and be functional / in active use prior to replacement. </t>
    </r>
  </si>
  <si>
    <t>Both cooler and freezer qualify. Island, floral and specialty cases DNQ. New Cases only, refurbished cases DNQ.</t>
  </si>
  <si>
    <t>Case width of open multideck-style and case with doors must be within 3 linear ft of each other. Customer must provide…</t>
  </si>
  <si>
    <t>...case footprint details (case model #, quantities, and store floor plan w/ location of cases) to prove cases within 3 linear ft.</t>
  </si>
  <si>
    <t>If installing new cases, must provide documents to confirm an alternate case is being considered.</t>
  </si>
  <si>
    <t>Linear Foot</t>
  </si>
  <si>
    <t>S-R3409</t>
  </si>
  <si>
    <t>Retrofit Open Refrigerated Cases with Doors (or new multideck case w/ doors for BIP)</t>
  </si>
  <si>
    <t>For addition of doors to existing open multideck-style cases or installation of multideck-style cases w/ doors in new construction applications.</t>
  </si>
  <si>
    <t>Existing cases must be open multideck-style and 6 feet or taller without doors and may either be cooler or freezer.</t>
  </si>
  <si>
    <t>Island, floral and specialty cases do not qualify.</t>
  </si>
  <si>
    <t>Enter linear feet of doors added to case (Linear foot measurement is the side-to-side measured width of the case)</t>
  </si>
  <si>
    <t>Anti-sweat heater controls, no-energy doors, LED lighting and ECM fan motors are also eligible on these cases (if installed)</t>
  </si>
  <si>
    <t>S-R2271</t>
  </si>
  <si>
    <t>Cooler Night Curtains, Open Multudeck-Style Cases</t>
  </si>
  <si>
    <t>Applies to professionally installed, permanent night curtain products only.</t>
  </si>
  <si>
    <t>Curtain must be manufactured with low-emissivity perforations or use breathable woven aluminum fabric.</t>
  </si>
  <si>
    <t>Both motorized and pull-down versions are eligible.</t>
  </si>
  <si>
    <t>Linear foot measurement is the side-to-side (not top to bottom) measured width of all installed night curtains</t>
  </si>
  <si>
    <t>Existing cases must be open multideck-style and 6 feet or taller without doors and may be cooler or freezer.</t>
  </si>
  <si>
    <t>S-R3183</t>
  </si>
  <si>
    <t>Strip Curtain, Walk-In Freezers and Coolers</t>
  </si>
  <si>
    <t>Applies to professionally installed, permanent strip curtain products only. Strip curtains must be at least 0.06 inches thick.</t>
  </si>
  <si>
    <t>For walk-in coolers &amp; freezers w/o strip curtains installed or replacement of old, ineffective (worn out, broken, missing strips) strip curtains.</t>
  </si>
  <si>
    <t>Linear foot measurement is the side-to-side (not top to bottom) measured width of the access door opening for the walk-in cooler or freezer.</t>
  </si>
  <si>
    <t>Incentive is only for strip curtains installed on access doors to walk-in cooler or freezer. If strip curtains are being added or …</t>
  </si>
  <si>
    <t>… replaced to open product display areas of the walk-ins, contact Focus on Energy, as a custom incentive may be available.</t>
  </si>
  <si>
    <t>-----------------------COMMERCIAL REFRIGERATION CATALOG: SELF CONTAINED-----------------------</t>
  </si>
  <si>
    <t>S-R2521</t>
  </si>
  <si>
    <t>Refrigerator, Chest, Glass Door, &lt;15 cu ft, ENERGY STAR</t>
  </si>
  <si>
    <t>Invoice must indicate equipment manufacturer, model and serial number for each piece of equipment installed</t>
  </si>
  <si>
    <t xml:space="preserve">Equipment costs must be itemized separately on invoice. </t>
  </si>
  <si>
    <t>Incentive is based on the internal volume as reported on the ENERGY STAR qualifying list.</t>
  </si>
  <si>
    <t>Equipment model must be on list of qualifying equipment for ENERGY STAR refrigerators to qualify for an incentive</t>
  </si>
  <si>
    <t>Refrigerator</t>
  </si>
  <si>
    <t>S-R2522</t>
  </si>
  <si>
    <t>Refrigerator, Chest, Glass Door, 15-29 cu ft, ENERGY STAR</t>
  </si>
  <si>
    <t>S-R2523</t>
  </si>
  <si>
    <t>Refrigerator, Chest, Glass Door, 30-49 cu ft, ENERGY STAR</t>
  </si>
  <si>
    <t>S-R2524</t>
  </si>
  <si>
    <t>Refrigerator, Chest, Glass Door, 50+ cu ft, ENERGY STAR</t>
  </si>
  <si>
    <t>S-R2525</t>
  </si>
  <si>
    <t>Refrigerator, Chest, Solid Door, &lt;15 cu ft, ENERGY STAR</t>
  </si>
  <si>
    <t>S-R2526</t>
  </si>
  <si>
    <t>Refrigerator, Chest, Solid Door, 15-29 cu ft, ENERGY STAR</t>
  </si>
  <si>
    <t>S-R2527</t>
  </si>
  <si>
    <t>Refrigerator, Chest, Solid Door, 30-49 cu ft, ENERGY STAR</t>
  </si>
  <si>
    <t>S-R2528</t>
  </si>
  <si>
    <t>Refrigerator, Chest, Solid Door, 50+ cu ft, ENERGY STAR</t>
  </si>
  <si>
    <t>S-R2529</t>
  </si>
  <si>
    <t>Refrigerator, Vertical, Glass Door, &lt;15 cu ft, ENERGY STAR</t>
  </si>
  <si>
    <t>S-R2530</t>
  </si>
  <si>
    <t>Refrigerator, Vertical, Glass Door, 15-29 cu ft, ENERGY STAR</t>
  </si>
  <si>
    <t>S-R2531</t>
  </si>
  <si>
    <t>Refrigerator, Vertical, Glass Door, 30-49 cu ft, ENERGY STAR</t>
  </si>
  <si>
    <t>S-R2532</t>
  </si>
  <si>
    <t>Refrigerator, Vertical, Glass Door, 50+ cu ft, ENERGY STAR</t>
  </si>
  <si>
    <t>S-R2533</t>
  </si>
  <si>
    <t>Refrigerator, Vertical, Solid Door, &lt;15 cu ft, ENERGY STAR</t>
  </si>
  <si>
    <t>S-R2534</t>
  </si>
  <si>
    <t>Refrigerator, Vertical, Solid Door, 15-29 cu ft, ENERGY STAR</t>
  </si>
  <si>
    <t>S-R2535</t>
  </si>
  <si>
    <t>Refrigerator, Vertical, Solid Door, 30-49 cu ft, ENERGY STAR</t>
  </si>
  <si>
    <t>S-R2536</t>
  </si>
  <si>
    <t>Refrigerator, Vertical, Solid Door, 50+ cu ft, ENERGY STAR</t>
  </si>
  <si>
    <t>S-R2321</t>
  </si>
  <si>
    <t>Freezer, Chest, Glass Door, &lt;15 cu ft, ENERGY STAR</t>
  </si>
  <si>
    <t>Equipment model must be on list of qualifying equipment for ENERGY STAR freezers to qualify for an incentive</t>
  </si>
  <si>
    <t>Freezer</t>
  </si>
  <si>
    <t>S-R2322</t>
  </si>
  <si>
    <t>Freezer, Chest, Glass Door, 15-29 cu ft, ENERGY STAR</t>
  </si>
  <si>
    <t>S-R2323</t>
  </si>
  <si>
    <t>Freezer, Chest, Glass Door, 30-49 cu ft, ENERGY STAR</t>
  </si>
  <si>
    <t>S-R2324</t>
  </si>
  <si>
    <t>Freezer, Chest, Glass Door, 50+ cu ft, ENERGY STAR</t>
  </si>
  <si>
    <t>S-R2325</t>
  </si>
  <si>
    <t>Freezer, Chest, Solid Door, &lt;15 cu ft, ENERGY STAR</t>
  </si>
  <si>
    <t>S-R2326</t>
  </si>
  <si>
    <t>Freezer, Chest, Solid Door, 15-29 cu ft, ENERGY STAR</t>
  </si>
  <si>
    <t>S-R2327</t>
  </si>
  <si>
    <t>Freezer, Chest, Solid Door, 30-49 cu ft, ENERGY STAR</t>
  </si>
  <si>
    <t>S-R2328</t>
  </si>
  <si>
    <t>Freezer, Chest, Solid Door, 50+ cu ft, ENERGY STAR</t>
  </si>
  <si>
    <t>S-R2329</t>
  </si>
  <si>
    <t>Freezer, Vertical, Glass Door, &lt;15 cu ft, ENERGY STAR</t>
  </si>
  <si>
    <t>S-R2330</t>
  </si>
  <si>
    <t>Freezer, Vertical, Glass Door, 15-29 cu ft, ENERGY STAR</t>
  </si>
  <si>
    <t>S-R2331</t>
  </si>
  <si>
    <t>Freezer, Vertical, Glass Door, 30-49 cu ft, ENERGY STAR</t>
  </si>
  <si>
    <t>S-R2332</t>
  </si>
  <si>
    <t>Freezer, Vertical, Glass Door, 50+ cu ft, ENERGY STAR</t>
  </si>
  <si>
    <t>S-R2333</t>
  </si>
  <si>
    <t>Freezer, Vertical, Solid Door, &lt;15 cu ft, ENERGY STAR</t>
  </si>
  <si>
    <t>S-R2334</t>
  </si>
  <si>
    <t>Freezer, Vertical, Solid Door, 15-29 cu ft, ENERGY STAR</t>
  </si>
  <si>
    <t>S-R2335</t>
  </si>
  <si>
    <t>Freezer, Vertical, Solid Door, 30-49 cu ft, ENERGY STAR</t>
  </si>
  <si>
    <t>S-R2336</t>
  </si>
  <si>
    <t>Freezer, Vertical, Solid Door, 50+ cu ft, ENERGY STAR</t>
  </si>
  <si>
    <t>S-R2615</t>
  </si>
  <si>
    <t>Vending Machine, Cold Beverage, Not Software Activated, ENERGY STAR</t>
  </si>
  <si>
    <t>Incentives are paid to the utility rate payer where equipment is installed</t>
  </si>
  <si>
    <t>Qualifying Wisconsin address of where unit was installed must be indicated on application or invoice</t>
  </si>
  <si>
    <t>Program may periodically verify placement of equipment based on information provided</t>
  </si>
  <si>
    <t>Equipment model must be on list of qualifying equipment for ENERGY STAR vending machines to qualify for an incentive</t>
  </si>
  <si>
    <t>Vending Machine</t>
  </si>
  <si>
    <t>S-R2616</t>
  </si>
  <si>
    <t>Vending Machine, Cold Beverage, Software Activated, ENERGY STAR</t>
  </si>
  <si>
    <t>S-R3906</t>
  </si>
  <si>
    <t>Commercial Ice Machine, ENERGY STAR, Ice Making Head</t>
  </si>
  <si>
    <t>Equipment model must be on the list of qualifying equipment for ENERGY STAR Ice Makers to qualify for an incentive</t>
  </si>
  <si>
    <t>Ice Machine</t>
  </si>
  <si>
    <t>S-R3907</t>
  </si>
  <si>
    <t>Commercial Ice Machine, ENERGY STAR, Remote Condensing Unit</t>
  </si>
  <si>
    <t>S-R3908</t>
  </si>
  <si>
    <t>Commercial Ice Machine, ENERGY STAR, Self-Contained Unit</t>
  </si>
  <si>
    <t>-----------------------COMMERCIAL REFRIGERATION CATALOG: CONTROLS-----------------------</t>
  </si>
  <si>
    <t>S-R2197</t>
  </si>
  <si>
    <t>Anti-Sweat Heater Controls, Freezer Case, Low-Heat Door</t>
  </si>
  <si>
    <t>Must sense the relative humidity in the air outside of the display case and turn off the anti-sweat heaters at low humidity conditions</t>
  </si>
  <si>
    <t>Must control heaters on rail (mullion) and door, if equipped with heater</t>
  </si>
  <si>
    <t>Low-heat = doors w/ anti-sweat heaters &lt; 133 W per freezer door. Heaters can be found on the glass, frame and/or rail (mullion).</t>
  </si>
  <si>
    <t>Invoice must include make and model number of controls. Controls costs must be itemized separately on invoice.</t>
  </si>
  <si>
    <t>Controls may be part of larger store system, such as PMAC, Energy Mgmt System, etc. (include system info w/ options for ASHC)</t>
  </si>
  <si>
    <t>S-R2198</t>
  </si>
  <si>
    <t>Anti-Sweat Heater Controls, Freezer Case, No-Heat Door</t>
  </si>
  <si>
    <t>No-heat = doors w/ anti-sweat heaters &lt; 54 W per freezer door. Heaters can be found on the glass, frame and/or rail (mullion).</t>
  </si>
  <si>
    <t>S-R2199</t>
  </si>
  <si>
    <t>Anti-Sweat Heater Controls, Freezer Case, Standard Door</t>
  </si>
  <si>
    <t>Standard = doors w/ anti-sweat heaters &gt; 133 W per freezer door. Heaters can be found on the glass, frame and/or rail (mullion).</t>
  </si>
  <si>
    <t>S-R2200</t>
  </si>
  <si>
    <t>Anti-Sweat Heater Controls, Refrigerated Case, Low-Heat or No-Heat Door</t>
  </si>
  <si>
    <t>Low-heat = doors w/ heaters &lt;63W per door. No-heat doors are &lt;52W. Heaters can be found on the glass, frame and/or rail (mullion).</t>
  </si>
  <si>
    <t>S-R2201</t>
  </si>
  <si>
    <t>Anti-Sweat Heater Controls, Refrigerated Case, Standard Door</t>
  </si>
  <si>
    <t>Standard = doors w/ anti-sweat heaters &gt; 63 W per cooler door.  Heaters can be found on the glass, frame and/or rail (mullion).</t>
  </si>
  <si>
    <t>S-R2269</t>
  </si>
  <si>
    <t>Evaporator Fan Control for Walk-in Cooler/Freezer</t>
  </si>
  <si>
    <t>For '# of Units' on the application, use the quantity of evaporator fan motors controlled, not the # of controllers installed.</t>
  </si>
  <si>
    <t>Eligible for controls used in conjunction with SP, PSC and/or ECM evaporator fan motors in walk-in coolers and freezers</t>
  </si>
  <si>
    <t xml:space="preserve">For cooler/freezer spaces storing perishable food product, include test results or statement indicating cooler/freezer space... </t>
  </si>
  <si>
    <t>...has been properly tested to avoid hot spots away from thermostat during low-speed fan operation.</t>
  </si>
  <si>
    <t>Motor controlled</t>
  </si>
  <si>
    <t>S-R4759</t>
  </si>
  <si>
    <t>Evaporator Fan Control for Reach-in Cooler/Freezer</t>
  </si>
  <si>
    <t>S-R4758</t>
  </si>
  <si>
    <t>Freezer Demand Defrost</t>
  </si>
  <si>
    <t>kW Controlled</t>
  </si>
  <si>
    <t>S-R2482</t>
  </si>
  <si>
    <t>Occupancy Sensor, LED Refrigerated Case Lights</t>
  </si>
  <si>
    <t>Sensors for both end-of-aisle and individual cases qualify</t>
  </si>
  <si>
    <t>Eligible for lighting on see-through doors equipped on commercial reach-in cases or walk-in</t>
  </si>
  <si>
    <t xml:space="preserve">For '# of Units' on the application, specify the quantity of doors controlled by sensors, not the # of sensors... </t>
  </si>
  <si>
    <t>...and document both the quantity of controllers and quantity of controlled LED-lit doors on invoicing.</t>
  </si>
  <si>
    <t>S-R4360</t>
  </si>
  <si>
    <t>Refrigeration Controls, Floating Head Pressure</t>
  </si>
  <si>
    <t>Controls must monitor &amp; modulate refrigerant line pressure based on ambient temperature and/or atmospheric conditions.</t>
  </si>
  <si>
    <t>Controls for both air-cooled condensing unit and central refrigeration systems are eligible.</t>
  </si>
  <si>
    <t>Heating, ventilation and air conditioning (HVAC) and ammonia systems are not eligible.</t>
  </si>
  <si>
    <t>Enter refrigeration system horsepower controlled with floating head pressure controls.</t>
  </si>
  <si>
    <t>HP</t>
  </si>
  <si>
    <t>S-R2202</t>
  </si>
  <si>
    <t>Beverage Cooler Controls</t>
  </si>
  <si>
    <t>Controls must be applied to self-contained commercial merchandising beverage coolers only.</t>
  </si>
  <si>
    <t>Coolers must have see-through doors, may or may not have interior lighting and must have a net capacity ≥8 cubic feet.</t>
  </si>
  <si>
    <t>Two eligible control options: use passive occ sensor to turn off lights/compressor when area is unoccupied for preset time…</t>
  </si>
  <si>
    <t>...or system will leave lights on while controlling compressor operation based on sales activity instead of occupancy</t>
  </si>
  <si>
    <t>ENERGY STAR qualified beverage coolers do not qualify for the sales-based (non-occupancy sensor) control incentive</t>
  </si>
  <si>
    <t>Beverage Cooler</t>
  </si>
  <si>
    <t>S-R2611</t>
  </si>
  <si>
    <t>Vending Machine Controls, Occupancy Based, Cold Beverage Machine</t>
  </si>
  <si>
    <t>Controls must use passive occupancy sensor to turn off lights/compressor when area is unoccupied for preset length of time</t>
  </si>
  <si>
    <t>ENERGY STAR qualified vending machines do not qualify for the sales-based (non-occupancy sensor) control incentive</t>
  </si>
  <si>
    <t>Machine</t>
  </si>
  <si>
    <t>S-R2612</t>
  </si>
  <si>
    <t>Vending Machine Controls, Occupancy Based, Snack Machine</t>
  </si>
  <si>
    <t>S-R2613</t>
  </si>
  <si>
    <t>Vending Machine Controls, Sales Based, Cold Beverage Machine</t>
  </si>
  <si>
    <t>System will leave lights and card reader electronics on while controlling compressor operation based on sales activity.</t>
  </si>
  <si>
    <t>Exported from SPECTRUM</t>
  </si>
  <si>
    <t>** 2019 Update Note: Updated to match either approved workpapers in Huddle, current Measure Master data, or most recent version if not in Measure Master (in that order)  **</t>
  </si>
  <si>
    <t>Measure Master ID</t>
  </si>
  <si>
    <t>Sector Savings Name</t>
  </si>
  <si>
    <t>Measure Master</t>
  </si>
  <si>
    <t>Measure Type</t>
  </si>
  <si>
    <t>kW Savings Peak Demand</t>
  </si>
  <si>
    <t>kWh Savings First Year</t>
  </si>
  <si>
    <t>kWh Savings Life Cycle</t>
  </si>
  <si>
    <t>Therm Savings First Year</t>
  </si>
  <si>
    <t>Therm Savings Life Cycle</t>
  </si>
  <si>
    <t>Estimated Useful Life (EUL) - Years</t>
  </si>
  <si>
    <t>Measure Savings Type</t>
  </si>
  <si>
    <t>Status</t>
  </si>
  <si>
    <t>Portfolio (Sector)</t>
  </si>
  <si>
    <t>Cooler Miser, Direct Install</t>
  </si>
  <si>
    <t>Prescriptive</t>
  </si>
  <si>
    <t>Active</t>
  </si>
  <si>
    <t>Business</t>
  </si>
  <si>
    <t>Anti-sweat Heater Controls, Freezer Case, Low-heat Door</t>
  </si>
  <si>
    <t>Anti-sweat Heater Controls, Freezer Case, No-heat Door</t>
  </si>
  <si>
    <t>Anti-sweat Heater Controls, Freezer Case, Standard Door</t>
  </si>
  <si>
    <t>Anti-sweat Heater Controls, Refrigerated Case, Low-heat or No-heat Door</t>
  </si>
  <si>
    <t>Anti-sweat Heater Controls, Refrigerated Case, Standard Door</t>
  </si>
  <si>
    <t>Beverage Cooler Controls, Occupancy Based</t>
  </si>
  <si>
    <t>Fixed</t>
  </si>
  <si>
    <t>Case Door, Freezer, Low Heat</t>
  </si>
  <si>
    <t>Case Door, Freezer, No Heat</t>
  </si>
  <si>
    <t>Case Door, Cooler, No Heat</t>
  </si>
  <si>
    <t>Cooler Evaporator Fan Control</t>
  </si>
  <si>
    <t>Cooler Night Curtains, Open Coolers</t>
  </si>
  <si>
    <t>ECM Condenser/Condensing Unit Fan Motor</t>
  </si>
  <si>
    <t>ECM Evaporator Fan Motor, Walk-in Cooler, &lt;1/20hp</t>
  </si>
  <si>
    <t>ECM Evaporator Fan Motor, Walk-in Cooler, 1/20hp - 1 hp</t>
  </si>
  <si>
    <t>ECM Evaporator Fan Motor, Walk-in Freezer, &lt;1/20hp</t>
  </si>
  <si>
    <t>ECM Evaporator Fan Motor, Walk-in Freezer, 1/20hp - 1 hp</t>
  </si>
  <si>
    <t>Freezer, Chest, Glass Door, &lt; 15 cu ft, Energy Star</t>
  </si>
  <si>
    <t>Freezer, Chest, Glass Door, 15-29 cu ft, Energy Star</t>
  </si>
  <si>
    <t>Freezer, Chest, Glass Door, 30-49 cu ft, Energy Star</t>
  </si>
  <si>
    <t>Freezer, Chest, Glass Door, 50+ cu ft, Energy Star</t>
  </si>
  <si>
    <t>Freezer, Chest, Solid Door, &lt; 15 cu ft, Energy Star</t>
  </si>
  <si>
    <t>Freezer, Chest, Solid Door, 15-29 cu ft, Energy Star</t>
  </si>
  <si>
    <t>Freezer, Chest, Solid Door, 30-49 cu ft, Energy Star</t>
  </si>
  <si>
    <t>Freezer, Chest, Solid Door, 50+ cu ft, Energy Star</t>
  </si>
  <si>
    <t>Freezer, Vertical, Glass Door, &lt; 15 cu ft, Energy Star</t>
  </si>
  <si>
    <t>Freezer, Vertical, Glass Door, 15-29 cu ft, Energy Star</t>
  </si>
  <si>
    <t>Freezer, Vertical, Glass Door, 30-49 cu ft, Energy Star</t>
  </si>
  <si>
    <t>Freezer, Vertical, Glass Door, 50+ cu ft,Energy Star</t>
  </si>
  <si>
    <t>Freezer, Vertical, Solid Door, &lt; 15 cu ft, Energy Star</t>
  </si>
  <si>
    <t>Freezer, Vertical, Solid Door, 15-29 cu ft, Energy Star</t>
  </si>
  <si>
    <t>Freezer, Vertical, Solid Door, 30-49 cu ft, Energy Star</t>
  </si>
  <si>
    <t>Freezer, Vertical, Solid Door, 50+ cu ft, Energy Star</t>
  </si>
  <si>
    <t>LED, Reach-In Refrigerated Case, Replaces T12 or T8</t>
  </si>
  <si>
    <t>Reach In Refrigerated Case w/ Doors replacing Open Multi Deck Case</t>
  </si>
  <si>
    <t>Refrigeration Tune-up, Non Self-Contained Cooler</t>
  </si>
  <si>
    <t>Refrigeration Tune-up, Non Self-Contained Freezer</t>
  </si>
  <si>
    <t>Refrigeration Tune-up, Self-contained Cooler</t>
  </si>
  <si>
    <t>Refrigeration Tune-up, Self-contained Freezer</t>
  </si>
  <si>
    <t>Refrigerator, Chest, Glass Door, &lt; 15 cu ft, Energy Star</t>
  </si>
  <si>
    <t>Refrigerator, Chest, Glass Door, 15-29 cu ft, Energy Star</t>
  </si>
  <si>
    <t>Refrigerator, Chest, Glass Door, 30-49 cu ft, Energy Star</t>
  </si>
  <si>
    <t>Refrigerator, Chest, Glass Door, 50+ cu ft, Energy Star</t>
  </si>
  <si>
    <t>Refrigerator, Chest, Solid Door, &lt; 15 cu ft, Energy Star</t>
  </si>
  <si>
    <t>Refrigerator, Chest, Solid Door, 15-29 cu ft, Energy Star</t>
  </si>
  <si>
    <t>Refrigerator, Chest, Solid Door, 30-49 cu ft, Energy Star</t>
  </si>
  <si>
    <t>Refrigerator, Chest, Solid Door, 50+ cu ft, Energy Star</t>
  </si>
  <si>
    <t>Refrigerator, Vertical, Glass Door, &lt; 15 cu ft, Energy Star</t>
  </si>
  <si>
    <t>Refrigerator, Vertical, Glass Door, 15-29 cu ft, Energy Star</t>
  </si>
  <si>
    <t>Refrigerator, Vertical, Glass Door, 30-49 cu ft, Energy Star</t>
  </si>
  <si>
    <t>Refrigerator, Vertical, Glass Door, 50+ cu ft, Energy Star</t>
  </si>
  <si>
    <t>Refrigerator, Vertical, Solid Door, &lt; 15 cu ft, Energy Star</t>
  </si>
  <si>
    <t>Refrigerator, Vertical, Solid Door, 15-29 cu ft, Energy Star</t>
  </si>
  <si>
    <t>Refrigerator, Vertical, Solid Door, 30-49 cu ft, Energy Star</t>
  </si>
  <si>
    <t>Refrigerator, Vertical, Solid Door, 50+ cu ft, Energy Star</t>
  </si>
  <si>
    <t>Vending Machine Controls, Sales Based, Snack Machine</t>
  </si>
  <si>
    <t>Vending Machine, Cold Beverage, Not Software Activated, Energy Star</t>
  </si>
  <si>
    <t>Vending Machine, Cold Beverage, Software Activated, Energy Star</t>
  </si>
  <si>
    <t>Coil Cleaning, Direct Install, Self Contained Unit</t>
  </si>
  <si>
    <t>Refrigeration, Not Otherwise Specified</t>
  </si>
  <si>
    <t>Hybrid</t>
  </si>
  <si>
    <t>Calculated</t>
  </si>
  <si>
    <t>LED, Horizontal Case Lighting</t>
  </si>
  <si>
    <t>Strip Curtain, Walk-In Freezers and Coolers, SBP A La Carte</t>
  </si>
  <si>
    <t>LED, Reach-In Refrigerated Case, Replaces T12 or T8, SBP A La Carte</t>
  </si>
  <si>
    <t>LED, Reach-In Refrigerated Case, Replaces T12 or T8 w/ Occupancy Control, SBP A La Carte</t>
  </si>
  <si>
    <t>LED, Horizontal Case Lighting, SBP A La Carte</t>
  </si>
  <si>
    <t>Retrofit Open Refrigerated Cases with Doors</t>
  </si>
  <si>
    <t>ENERGY STAR® Commercial Ice Machine, Ice Making Head</t>
  </si>
  <si>
    <t>ENERGY STAR® Commercial Ice Machine, Remote Condensing Unit</t>
  </si>
  <si>
    <t>ENERGY STAR® Commercial Ice Machine, Self-Contained Unit</t>
  </si>
  <si>
    <t>Demand Defrost Controls, Freezer</t>
  </si>
  <si>
    <t>Evaporator Fan Control, Reach-in Cooler or Freezer</t>
  </si>
  <si>
    <t>Measures either carried over from previous version or most recent effective data in measure master.  Measure Master data n/a as of 12/19/18</t>
  </si>
  <si>
    <t>Business Catalog Code</t>
  </si>
  <si>
    <t>BIP Incentive</t>
  </si>
  <si>
    <t>BIP Incentive per…</t>
  </si>
  <si>
    <t>BIP Measure ID</t>
  </si>
  <si>
    <t>BIP NC Eligible</t>
  </si>
  <si>
    <t>BIP % of  Project Cost Limit</t>
  </si>
  <si>
    <t>L3111</t>
  </si>
  <si>
    <t>L4335</t>
  </si>
  <si>
    <t>DLC Listed LED, ≤55W, 2X4 product replacing or instead of 3- or 4-lamp T8 or T12 troffer w/LLLC</t>
  </si>
  <si>
    <t>4335</t>
  </si>
  <si>
    <t>YES</t>
  </si>
  <si>
    <t>L3760</t>
  </si>
  <si>
    <t>DLC-Listed LED 1' x 4' High Performance Troffer</t>
  </si>
  <si>
    <t>L4334</t>
  </si>
  <si>
    <t>DLC Listed LED, &lt;44W, 1X4 product replacing or instead of 1- or 2-lamp T8 or T12 w/LLLC</t>
  </si>
  <si>
    <t>4334</t>
  </si>
  <si>
    <t>L3400</t>
  </si>
  <si>
    <t>DLC Listed 2'x2' LED Troffer, replacing Fixture w/ 2 or more T8 or T12 lamps</t>
  </si>
  <si>
    <t>L4332</t>
  </si>
  <si>
    <t>DLC Listed 2X2 LED, ≤36W, replacing or instead of Fixture with 2 or more T8 or T12 Lamps w/LLLC</t>
  </si>
  <si>
    <t>4332</t>
  </si>
  <si>
    <t>L3401</t>
  </si>
  <si>
    <t>DLC Listed 2'x2' LED Troffer, replacing Fixture w/ 2 or more 2G11 lamps</t>
  </si>
  <si>
    <t>L4333</t>
  </si>
  <si>
    <t>DLC Listed 2X2 LED, ≤85W, replacing or instead of Fixture with 2 or more 2G11 base Lamps w/LLLC</t>
  </si>
  <si>
    <t>4333</t>
  </si>
  <si>
    <t>L4314</t>
  </si>
  <si>
    <t>NO</t>
  </si>
  <si>
    <t>L4317</t>
  </si>
  <si>
    <t>L4320</t>
  </si>
  <si>
    <t>L4323</t>
  </si>
  <si>
    <t>L4326</t>
  </si>
  <si>
    <t>L4329</t>
  </si>
  <si>
    <t>L2276</t>
  </si>
  <si>
    <t>L2277</t>
  </si>
  <si>
    <t>L3091</t>
  </si>
  <si>
    <t>L3092</t>
  </si>
  <si>
    <t>L3093</t>
  </si>
  <si>
    <t>L3094</t>
  </si>
  <si>
    <t>L3095</t>
  </si>
  <si>
    <t>L3096</t>
  </si>
  <si>
    <t>L3393</t>
  </si>
  <si>
    <t>L4347</t>
  </si>
  <si>
    <t>L4354</t>
  </si>
  <si>
    <t>LED Downlight Fixtures replacing or instead of Incandescent, CFL or HID fixture (See system wattage table on pg. 55 of Lightring Catalog for baseline inputs)</t>
  </si>
  <si>
    <t>L3736</t>
  </si>
  <si>
    <t>LED track/mono/accent fixtures ≤18W replacing or instead of 35-99W Incandescent</t>
  </si>
  <si>
    <t>Must replace 35-99W incandescent in interior fixture. New LED must be ≤ 18W.</t>
  </si>
  <si>
    <t>Fixture must be listed on ENERGY STAR as an “Accent Light Line-voltage” fixture type or DLC listed in the “Track or Mono-point Luminaires” …</t>
  </si>
  <si>
    <t xml:space="preserve"> or “Wall-wash Luminaires” primary use categories. </t>
  </si>
  <si>
    <t>For Businesses, fixtures must be intended for commercial use. For Multifamily, fixtures can be for commercial and/or residential use.</t>
  </si>
  <si>
    <t>Must be permanently wired fixtures and include housing, lens, heat sink, driver and light source.</t>
  </si>
  <si>
    <t>L3737</t>
  </si>
  <si>
    <t>LED track/mono/accent fixtures &gt;18W replacing or instead of 100W Incandescent or 50-100W HID</t>
  </si>
  <si>
    <t>Must replace 100W incandescent or 50-100W HID in interior fixture. New LED must be &gt; 18W.</t>
  </si>
  <si>
    <t>L3903</t>
  </si>
  <si>
    <t>L3097</t>
  </si>
  <si>
    <t>L3952</t>
  </si>
  <si>
    <t>L3953</t>
  </si>
  <si>
    <t>L3954</t>
  </si>
  <si>
    <t>L3955</t>
  </si>
  <si>
    <t>L3956</t>
  </si>
  <si>
    <t>L3941</t>
  </si>
  <si>
    <t>L3942</t>
  </si>
  <si>
    <t>L3943</t>
  </si>
  <si>
    <t>L3944</t>
  </si>
  <si>
    <t>L3945</t>
  </si>
  <si>
    <t>L3946</t>
  </si>
  <si>
    <t>L3932</t>
  </si>
  <si>
    <t>L3933</t>
  </si>
  <si>
    <t>L3934</t>
  </si>
  <si>
    <t>L3962</t>
  </si>
  <si>
    <t>DLC listed, Mogul Screw-Base (E39) LED lamp replacing HID</t>
  </si>
  <si>
    <t>L3511</t>
  </si>
  <si>
    <t>L3759</t>
  </si>
  <si>
    <t>L3512</t>
  </si>
  <si>
    <t>L4280</t>
  </si>
  <si>
    <t>L4281</t>
  </si>
  <si>
    <t>L4282</t>
  </si>
  <si>
    <t>L4283</t>
  </si>
  <si>
    <t>L4356</t>
  </si>
  <si>
    <t>LED Downlight Fixtures replacing or instead of Incandescent, CFL or HID fixture (See system wattage table on pg. 55 of Lighting Catalog for baseline inputs)</t>
  </si>
  <si>
    <t>L3904</t>
  </si>
  <si>
    <t>L4316</t>
  </si>
  <si>
    <t>L4315</t>
  </si>
  <si>
    <t>L4319</t>
  </si>
  <si>
    <t>L4318</t>
  </si>
  <si>
    <t>L4322</t>
  </si>
  <si>
    <t>L4321</t>
  </si>
  <si>
    <t>L4325</t>
  </si>
  <si>
    <t>L4324</t>
  </si>
  <si>
    <t>L4328</t>
  </si>
  <si>
    <t>L4327</t>
  </si>
  <si>
    <t>L4331</t>
  </si>
  <si>
    <t>L4330</t>
  </si>
  <si>
    <t>L3963</t>
  </si>
  <si>
    <t>Must be DLC listed for primary use category of replacement lamps for: Outdoor Pole/Arm-Mounted Area and Roadway Luminaires (UL Type B or C)…</t>
  </si>
  <si>
    <t>Outdoor Pole/Arm-Mounted Decorative Luminaires (UL Type B or C), Outdoor Full-Cutoff Wall-Mounted Area Luminaires (UL Type B or C)…</t>
  </si>
  <si>
    <t>...Parking Garage Luminaires (UL Type B or C), or Fuel Pump Canopy Luminaires (UL Type B).</t>
  </si>
  <si>
    <t>Replacement lamps must be installed in luminaire they are DLC listed under.</t>
  </si>
  <si>
    <t>L3947</t>
  </si>
  <si>
    <t>ENERGY STAR Omnidirectional/Decorative LED Lamp, 1,600-1,999 lumens, Exterior</t>
  </si>
  <si>
    <t>Product must appear on ENERGY STAR certified light bulbs qualified product list under Omnidirectional or Decorative Lamp Category.</t>
  </si>
  <si>
    <t>One-for-one replacement of EXTERIOR incandescent or CFL only (see measures L3952 to L3961 for interior lamps).</t>
  </si>
  <si>
    <t>L3948</t>
  </si>
  <si>
    <t>ENERGY STAR Omnidirectional/Decorative LED Lamp, 1,100-1,599 lumens, Exterior</t>
  </si>
  <si>
    <t>L3949</t>
  </si>
  <si>
    <t>ENERGY STAR Omnidirectional/Decorative LED Lamp, 800-1,099 lumens, Exterior</t>
  </si>
  <si>
    <t>L3950</t>
  </si>
  <si>
    <t>ENERGY STAR Omnidirectional/Decorative LED Lamp, 450-799 lumens, Exterior</t>
  </si>
  <si>
    <t>L3951</t>
  </si>
  <si>
    <t>ENERGY STAR Omnidirectional/Decorative LED Lamp, 250-449 lumens, Exterior</t>
  </si>
  <si>
    <t>L3935</t>
  </si>
  <si>
    <t>ENERGY STAR Directional LED replacing incandescent 120W – 250W, Exterior</t>
  </si>
  <si>
    <t>Product must appear on ENERGY STAR certified light bulbs qualified product list under Directional Lamp Category.</t>
  </si>
  <si>
    <t>One-for-one replacement of EXTERIOR incandescent only (see measures L3941 to L3946 and L4027 to L4032 for exterior lamps).</t>
  </si>
  <si>
    <t>L3936</t>
  </si>
  <si>
    <t>ENERGY STAR Directional LED replacing incandescent 100W – 119W, Exterior</t>
  </si>
  <si>
    <t>L3937</t>
  </si>
  <si>
    <t>ENERGY STAR Directional LED replacing incandescent 75W – 99W, Exterior</t>
  </si>
  <si>
    <t>L3938</t>
  </si>
  <si>
    <t>ENERGY STAR Directional LED replacing incandescent 55W – 74W, Exterior</t>
  </si>
  <si>
    <t>L3939</t>
  </si>
  <si>
    <t>ENERGY STAR Directional LED replacing incandescent 36W – 54W, Exterior</t>
  </si>
  <si>
    <t>L3940</t>
  </si>
  <si>
    <t>ENERGY STAR Directional LED replacing incandescent ≤ 35W, Exterior</t>
  </si>
  <si>
    <t>L3929</t>
  </si>
  <si>
    <t>ENERGY STAR Directional LED replacing CFL ≥ 23W, Exterior</t>
  </si>
  <si>
    <t>One-for-one replacement of EXTERIOR incandescent only (see measures L3932 to L3934 for exterior lamps).</t>
  </si>
  <si>
    <t>L3930</t>
  </si>
  <si>
    <t>ENERGY STAR Directional LED replacing CFL 14W – 22W, Exterior</t>
  </si>
  <si>
    <t>L3931</t>
  </si>
  <si>
    <t>ENERGY STAR Directional LED replacing CFL ≤ 13W, Exterior</t>
  </si>
  <si>
    <t>L4353</t>
  </si>
  <si>
    <t>L4351</t>
  </si>
  <si>
    <t>L4349</t>
  </si>
  <si>
    <t>L4352</t>
  </si>
  <si>
    <t>L4350</t>
  </si>
  <si>
    <t>L4348</t>
  </si>
  <si>
    <t>L3251</t>
  </si>
  <si>
    <t>Controlled Fixture</t>
  </si>
  <si>
    <t>L3252</t>
  </si>
  <si>
    <t>L3253</t>
  </si>
  <si>
    <t>L3406</t>
  </si>
  <si>
    <t>watt controlled</t>
  </si>
  <si>
    <t>L3978</t>
  </si>
  <si>
    <t>L3979</t>
  </si>
  <si>
    <t>L2471</t>
  </si>
  <si>
    <t>Ceiling Mounted Occ Sensor, controlling 500W or less each</t>
  </si>
  <si>
    <t>Must be ultrasonic, passive infrared, microphonic or dual technology sensors controlling non-high bay fixture types.</t>
  </si>
  <si>
    <t>Sensor may control more than one fixture</t>
  </si>
  <si>
    <t>Socket based occupancy sensors do not qualify.</t>
  </si>
  <si>
    <t>Sensor</t>
  </si>
  <si>
    <t>L2473</t>
  </si>
  <si>
    <t>Ceiling Mounted Occ Sensor, controlling 501-1000W each</t>
  </si>
  <si>
    <t>L2472</t>
  </si>
  <si>
    <t>Ceiling Mounted Occ Sensor, controlling over 1000W each</t>
  </si>
  <si>
    <t>L2483</t>
  </si>
  <si>
    <t>Wall Switch-Mounted Occ Sensor, controlling 200W or less each</t>
  </si>
  <si>
    <t>L2484</t>
  </si>
  <si>
    <t>Wall Switch-Mounted Occ Sensor, controlling over 200W each</t>
  </si>
  <si>
    <t>L2474</t>
  </si>
  <si>
    <t>Fixture-Mounted Occ Sensor, controlling 200W or less each (non-High Bay)</t>
  </si>
  <si>
    <t>L2475</t>
  </si>
  <si>
    <t>Fixture-Mounted Occ Sensor, controlling over 200W each (non-High Bay)</t>
  </si>
  <si>
    <t>L3965</t>
  </si>
  <si>
    <t>Low lumen output fixtures/high fixture density applications (i.e. troffers, downlights, etc.)</t>
  </si>
  <si>
    <t>Square Foot</t>
  </si>
  <si>
    <t>L3966</t>
  </si>
  <si>
    <t>High lumen output fixtures/low fixture density applications (i.e. high bay)</t>
  </si>
  <si>
    <t>L4101</t>
  </si>
  <si>
    <t>Energy Monitoring Bonus</t>
  </si>
  <si>
    <t>R2236</t>
  </si>
  <si>
    <t>Efficient Reach-in Cooler Case Door, No-Heat Type</t>
  </si>
  <si>
    <t>Doors for self-contained refrigerated cases are not eligible.</t>
  </si>
  <si>
    <t>For cooler applications, only no-heat doors qualify; low-heat doors are not eligible.</t>
  </si>
  <si>
    <t xml:space="preserve">No-heat doors are doors with anti-sweat heaters w/ &lt; 52 W per cooler door... </t>
  </si>
  <si>
    <t>...these heaters can be found on the glass, frame and/or rail (mullion).</t>
  </si>
  <si>
    <t>door</t>
  </si>
  <si>
    <t>R2234</t>
  </si>
  <si>
    <t>Efficient Reach-in Freezer Case Door, Low-Heat Type</t>
  </si>
  <si>
    <t>Must be a Low-heat type door</t>
  </si>
  <si>
    <t>Low-heat doors are doors w/ anti-sweat heaters that are &lt; 133 W per freezer door…</t>
  </si>
  <si>
    <t>R2235</t>
  </si>
  <si>
    <t>Efficient Reach-in Freezer Case Door, No-Heat Type</t>
  </si>
  <si>
    <t>Must be a No-heat type door</t>
  </si>
  <si>
    <t>No-heat doors are doors with anti-sweat heaters w/ &lt; 54 W per freezer door…</t>
  </si>
  <si>
    <t>…these heaters can be found on the glass, frame and/or rail (mullion).</t>
  </si>
  <si>
    <t>R2308</t>
  </si>
  <si>
    <t>motor</t>
  </si>
  <si>
    <t>R2309</t>
  </si>
  <si>
    <t>R2310</t>
  </si>
  <si>
    <t>R2311</t>
  </si>
  <si>
    <t>R2312</t>
  </si>
  <si>
    <t>R4284</t>
  </si>
  <si>
    <t>4284</t>
  </si>
  <si>
    <t>R2306</t>
  </si>
  <si>
    <t>R2307</t>
  </si>
  <si>
    <t>R3114</t>
  </si>
  <si>
    <t>linear ft of Lamps</t>
  </si>
  <si>
    <t>R2456</t>
  </si>
  <si>
    <t>R2509</t>
  </si>
  <si>
    <t>linear foot</t>
  </si>
  <si>
    <t>R3409</t>
  </si>
  <si>
    <t>R2271</t>
  </si>
  <si>
    <t>R3183</t>
  </si>
  <si>
    <t>R2521</t>
  </si>
  <si>
    <t>R2522</t>
  </si>
  <si>
    <t>R2523</t>
  </si>
  <si>
    <t>R2524</t>
  </si>
  <si>
    <t>R2525</t>
  </si>
  <si>
    <t>R2526</t>
  </si>
  <si>
    <t>R2527</t>
  </si>
  <si>
    <t>R2528</t>
  </si>
  <si>
    <t>R2529</t>
  </si>
  <si>
    <t>R2530</t>
  </si>
  <si>
    <t>R2531</t>
  </si>
  <si>
    <t>R2532</t>
  </si>
  <si>
    <t>R2533</t>
  </si>
  <si>
    <t>R2534</t>
  </si>
  <si>
    <t>R2535</t>
  </si>
  <si>
    <t>R2536</t>
  </si>
  <si>
    <t>R2321</t>
  </si>
  <si>
    <t>R2322</t>
  </si>
  <si>
    <t>R2323</t>
  </si>
  <si>
    <t>R2324</t>
  </si>
  <si>
    <t>R2325</t>
  </si>
  <si>
    <t>R2326</t>
  </si>
  <si>
    <t>R2327</t>
  </si>
  <si>
    <t>R2328</t>
  </si>
  <si>
    <t>R2329</t>
  </si>
  <si>
    <t>R2330</t>
  </si>
  <si>
    <t>R2331</t>
  </si>
  <si>
    <t>R2332</t>
  </si>
  <si>
    <t>R2333</t>
  </si>
  <si>
    <t>R2334</t>
  </si>
  <si>
    <t>R2335</t>
  </si>
  <si>
    <t>R2336</t>
  </si>
  <si>
    <t>R2615</t>
  </si>
  <si>
    <t>R2616</t>
  </si>
  <si>
    <t>R3906</t>
  </si>
  <si>
    <t>R3907</t>
  </si>
  <si>
    <t>R3908</t>
  </si>
  <si>
    <t>R2197</t>
  </si>
  <si>
    <t>R2198</t>
  </si>
  <si>
    <t>R2199</t>
  </si>
  <si>
    <t>R2200</t>
  </si>
  <si>
    <t>R2201</t>
  </si>
  <si>
    <t>R2269</t>
  </si>
  <si>
    <t>Evaporator Fan Control (walk-in coolers and freezers)</t>
  </si>
  <si>
    <t>R2482</t>
  </si>
  <si>
    <t>R2510</t>
  </si>
  <si>
    <t>R2202</t>
  </si>
  <si>
    <t>R2611</t>
  </si>
  <si>
    <t>R2612</t>
  </si>
  <si>
    <t>R2613</t>
  </si>
  <si>
    <t>R2614</t>
  </si>
  <si>
    <t>--------------------------------------SPECIAL OFFERS-----------------------------------</t>
  </si>
  <si>
    <t>Excluded…difficult to make work:</t>
  </si>
  <si>
    <t>L3740</t>
  </si>
  <si>
    <t>Linear Ambient LED (per ft), replacing 1L or 2L T8 or T12 in cross section</t>
  </si>
  <si>
    <t>For the 1-for-1 replacement of surface mount or suspended linear T8 or T12 fluorescent fixtures</t>
  </si>
  <si>
    <t>Must be DLC listed in “Direct Linear Ambient Luminaires” or “Linear Ambient Luminaires w/Indirect component” primary use categories.</t>
  </si>
  <si>
    <t>Recessed troffers (2X2, 1X4 and 2X4) and LED replacement lamps are not eligible under these incentives</t>
  </si>
  <si>
    <t>Fixtures ENERGY STAR listed as under cabinet or cove may also be eligible. (Check with Kyle)</t>
  </si>
  <si>
    <t>New LED fixture must be &lt; 11 W/ft</t>
  </si>
  <si>
    <t>L3741</t>
  </si>
  <si>
    <t>Linear Ambient LED (per ft), replacing 3L or 4L T8 or T12 in cross section</t>
  </si>
  <si>
    <t>New LED fixture must be &lt; 24 W/ft</t>
  </si>
  <si>
    <t>L3738</t>
  </si>
  <si>
    <t>Linear Ambient LED (per ft), replacing 1L or 2L T5 in cross section</t>
  </si>
  <si>
    <t>For the 1-for-1 replacement of surface mount or suspended linear T5 fluorescent fixtures</t>
  </si>
  <si>
    <t>New LED fixture must be &lt; 12 W/ft</t>
  </si>
  <si>
    <t>L3739</t>
  </si>
  <si>
    <t>Linear Ambient LED (per ft), replacing 3L or 4L T5 in cross section</t>
  </si>
  <si>
    <t>New LED fixture must be &lt; 28 W/ft</t>
  </si>
  <si>
    <t>L4781</t>
  </si>
  <si>
    <t>L4782</t>
  </si>
  <si>
    <t>L4783</t>
  </si>
  <si>
    <t>L4784</t>
  </si>
  <si>
    <t>L4785</t>
  </si>
  <si>
    <t>L4786</t>
  </si>
  <si>
    <t>L4787</t>
  </si>
  <si>
    <t>L4788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</si>
</sst>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quot;$&quot;#,##0"/>
    <numFmt numFmtId="166" formatCode="&quot;$&quot;#,##0.000"/>
    <numFmt numFmtId="167" formatCode="&quot;$&quot;#,##0.00"/>
    <numFmt numFmtId="168" formatCode="_(* #,##0.0_);_(* \(#,##0.0\);_(* &quot;-&quot;??_);_(@_)"/>
    <numFmt numFmtId="169" formatCode="0.0%"/>
    <numFmt numFmtId="170" formatCode="#,##0.0"/>
    <numFmt numFmtId="171" formatCode="m/d/yy;@"/>
  </numFmts>
  <fonts count="55"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1"/>
      <color theme="1"/>
      <name val="Arial"/>
      <family val="2"/>
    </font>
    <font>
      <b/>
      <sz val="10"/>
      <color theme="1"/>
      <name val="Arial"/>
      <family val="2"/>
    </font>
    <font>
      <sz val="10"/>
      <name val="Arial"/>
      <family val="2"/>
    </font>
    <font>
      <b/>
      <sz val="9"/>
      <color theme="1"/>
      <name val="Arial"/>
      <family val="2"/>
    </font>
    <font>
      <sz val="9"/>
      <color theme="1"/>
      <name val="Arial"/>
      <family val="2"/>
    </font>
    <font>
      <sz val="8"/>
      <color theme="1"/>
      <name val="Arial"/>
      <family val="2"/>
    </font>
    <font>
      <b/>
      <sz val="11"/>
      <color theme="1"/>
      <name val="Arial"/>
      <family val="2"/>
    </font>
    <font>
      <b/>
      <sz val="8"/>
      <name val="Arial"/>
      <family val="2"/>
    </font>
    <font>
      <sz val="11"/>
      <name val="Arial"/>
      <family val="2"/>
    </font>
    <font>
      <b/>
      <sz val="11"/>
      <name val="Arial"/>
      <family val="2"/>
    </font>
    <font>
      <sz val="10"/>
      <color indexed="8"/>
      <name val="Arial"/>
      <family val="2"/>
    </font>
    <font>
      <b/>
      <sz val="9"/>
      <color indexed="81"/>
      <name val="Tahoma"/>
      <family val="2"/>
    </font>
    <font>
      <sz val="9"/>
      <color indexed="81"/>
      <name val="Tahoma"/>
      <family val="2"/>
    </font>
    <font>
      <b/>
      <sz val="10"/>
      <color rgb="FFFF0000"/>
      <name val="Arial"/>
      <family val="2"/>
    </font>
    <font>
      <b/>
      <i/>
      <sz val="10"/>
      <color rgb="FFFF0000"/>
      <name val="Arial"/>
      <family val="2"/>
    </font>
    <font>
      <sz val="10"/>
      <color rgb="FFFF0000"/>
      <name val="Arial"/>
      <family val="2"/>
    </font>
    <font>
      <i/>
      <sz val="11"/>
      <color rgb="FFFF0000"/>
      <name val="Calibri"/>
      <family val="2"/>
      <scheme val="minor"/>
    </font>
    <font>
      <sz val="9"/>
      <color theme="1"/>
      <name val="Calibri"/>
      <family val="2"/>
      <scheme val="minor"/>
    </font>
    <font>
      <b/>
      <u/>
      <sz val="11"/>
      <color theme="1"/>
      <name val="Calibri"/>
      <family val="2"/>
      <scheme val="minor"/>
    </font>
    <font>
      <b/>
      <u/>
      <sz val="9"/>
      <color theme="1"/>
      <name val="Calibri"/>
      <family val="2"/>
      <scheme val="minor"/>
    </font>
    <font>
      <sz val="11"/>
      <color theme="1"/>
      <name val="Calibri"/>
      <family val="2"/>
    </font>
    <font>
      <sz val="9.35"/>
      <color theme="1"/>
      <name val="Calibri"/>
      <family val="2"/>
    </font>
    <font>
      <sz val="11"/>
      <name val="Calibri"/>
      <family val="2"/>
      <scheme val="minor"/>
    </font>
    <font>
      <b/>
      <sz val="11"/>
      <color theme="1"/>
      <name val="Calibri"/>
      <family val="2"/>
      <scheme val="minor"/>
    </font>
    <font>
      <sz val="9"/>
      <name val="Arial"/>
      <family val="2"/>
    </font>
    <font>
      <b/>
      <sz val="14"/>
      <color theme="1"/>
      <name val="Arial"/>
      <family val="2"/>
    </font>
    <font>
      <b/>
      <sz val="18"/>
      <color theme="1"/>
      <name val="Arial"/>
      <family val="2"/>
    </font>
    <font>
      <i/>
      <sz val="9"/>
      <color rgb="FFFF0000"/>
      <name val="Arial"/>
      <family val="2"/>
    </font>
    <font>
      <b/>
      <sz val="9"/>
      <color rgb="FFFF0000"/>
      <name val="Arial"/>
      <family val="2"/>
    </font>
    <font>
      <b/>
      <sz val="10"/>
      <color rgb="FFFF0000"/>
      <name val="Arial Narrow"/>
      <family val="2"/>
    </font>
    <font>
      <u/>
      <sz val="11"/>
      <color theme="10"/>
      <name val="Calibri"/>
      <family val="2"/>
      <scheme val="minor"/>
    </font>
    <font>
      <b/>
      <u/>
      <sz val="12"/>
      <color theme="10"/>
      <name val="Calibri"/>
      <family val="2"/>
      <scheme val="minor"/>
    </font>
    <font>
      <sz val="10"/>
      <color theme="1"/>
      <name val="PT Sans Narrow"/>
      <family val="2"/>
    </font>
    <font>
      <b/>
      <sz val="11"/>
      <name val="PT Sans Narrow"/>
      <family val="2"/>
    </font>
    <font>
      <sz val="11"/>
      <color theme="1"/>
      <name val="PT Sans Narrow"/>
      <family val="2"/>
    </font>
    <font>
      <b/>
      <sz val="10"/>
      <color theme="1"/>
      <name val="PT Sans Narrow"/>
      <family val="2"/>
    </font>
    <font>
      <b/>
      <sz val="18"/>
      <color theme="1"/>
      <name val="PT Sans Narrow"/>
      <family val="2"/>
    </font>
    <font>
      <b/>
      <sz val="11"/>
      <color theme="1"/>
      <name val="PT Sans Narrow"/>
      <family val="2"/>
    </font>
    <font>
      <b/>
      <sz val="14"/>
      <color theme="1"/>
      <name val="PT Sans Narrow"/>
      <family val="2"/>
    </font>
    <font>
      <b/>
      <sz val="10"/>
      <color theme="0"/>
      <name val="Arial"/>
      <family val="2"/>
    </font>
    <font>
      <b/>
      <u/>
      <sz val="12"/>
      <color theme="10"/>
      <name val="Arial"/>
      <family val="2"/>
    </font>
    <font>
      <sz val="10"/>
      <name val="Arial Narrow"/>
      <family val="2"/>
    </font>
    <font>
      <sz val="10"/>
      <color theme="1"/>
      <name val="Arial Narrow"/>
      <family val="2"/>
    </font>
    <font>
      <b/>
      <sz val="11"/>
      <color rgb="FFF68E22"/>
      <name val="Arial"/>
      <family val="2"/>
    </font>
    <font>
      <b/>
      <sz val="10"/>
      <color rgb="FFF68E22"/>
      <name val="Arial"/>
      <family val="2"/>
    </font>
    <font>
      <b/>
      <sz val="11"/>
      <color rgb="FFF68E22"/>
      <name val="PT Sans Narrow"/>
      <family val="2"/>
    </font>
    <font>
      <sz val="9"/>
      <color rgb="FFFF0000"/>
      <name val="Arial"/>
      <family val="2"/>
    </font>
    <font>
      <sz val="11"/>
      <color rgb="FFFF0000"/>
      <name val="Calibri"/>
      <family val="2"/>
      <scheme val="minor"/>
    </font>
    <font>
      <i/>
      <sz val="11"/>
      <color theme="1"/>
      <name val="Calibri"/>
      <family val="2"/>
      <scheme val="minor"/>
    </font>
    <font>
      <b/>
      <sz val="11"/>
      <color rgb="FF004A62"/>
      <name val="Arial"/>
      <family val="2"/>
    </font>
    <font>
      <b/>
      <sz val="10"/>
      <color rgb="FF004A62"/>
      <name val="Arial"/>
      <family val="2"/>
    </font>
  </fonts>
  <fills count="3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00B050"/>
        <bgColor indexed="64"/>
      </patternFill>
    </fill>
    <fill>
      <patternFill patternType="solid">
        <fgColor theme="2"/>
        <bgColor indexed="64"/>
      </patternFill>
    </fill>
    <fill>
      <patternFill patternType="solid">
        <fgColor theme="4" tint="0.79998168889431442"/>
        <bgColor indexed="64"/>
      </patternFill>
    </fill>
    <fill>
      <patternFill patternType="solid">
        <fgColor theme="7"/>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499984740745262"/>
        <bgColor indexed="64"/>
      </patternFill>
    </fill>
    <fill>
      <patternFill patternType="solid">
        <fgColor rgb="FFE5641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70C0"/>
        <bgColor indexed="64"/>
      </patternFill>
    </fill>
    <fill>
      <patternFill patternType="solid">
        <fgColor rgb="FF7030A0"/>
        <bgColor indexed="64"/>
      </patternFill>
    </fill>
    <fill>
      <patternFill patternType="solid">
        <fgColor theme="0"/>
        <bgColor indexed="64"/>
      </patternFill>
    </fill>
    <fill>
      <patternFill patternType="solid">
        <fgColor rgb="FFF68E22"/>
        <bgColor indexed="64"/>
      </patternFill>
    </fill>
    <fill>
      <patternFill patternType="solid">
        <fgColor theme="0" tint="-0.14999847407452621"/>
        <bgColor indexed="64"/>
      </patternFill>
    </fill>
    <fill>
      <patternFill patternType="solid">
        <fgColor rgb="FF0067B1"/>
        <bgColor indexed="64"/>
      </patternFill>
    </fill>
    <fill>
      <patternFill patternType="solid">
        <fgColor rgb="FF004A62"/>
        <bgColor indexed="64"/>
      </patternFill>
    </fill>
  </fills>
  <borders count="5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s>
  <cellStyleXfs count="7">
    <xf numFmtId="0" fontId="0" fillId="0" borderId="0"/>
    <xf numFmtId="43" fontId="1" fillId="0" borderId="0" applyFont="0" applyFill="0" applyBorder="0" applyAlignment="0" applyProtection="0"/>
    <xf numFmtId="0" fontId="1" fillId="0" borderId="0"/>
    <xf numFmtId="0" fontId="6" fillId="0" borderId="0"/>
    <xf numFmtId="0" fontId="14" fillId="0" borderId="0"/>
    <xf numFmtId="9" fontId="1" fillId="0" borderId="0" applyFont="0" applyFill="0" applyBorder="0" applyAlignment="0" applyProtection="0"/>
    <xf numFmtId="0" fontId="34" fillId="0" borderId="0" applyNumberFormat="0" applyFill="0" applyBorder="0" applyAlignment="0" applyProtection="0"/>
  </cellStyleXfs>
  <cellXfs count="387">
    <xf numFmtId="0" fontId="0" fillId="0" borderId="0" xfId="0"/>
    <xf numFmtId="0" fontId="4" fillId="0" borderId="0" xfId="0" applyFont="1"/>
    <xf numFmtId="0" fontId="3" fillId="0" borderId="0" xfId="0" applyFont="1"/>
    <xf numFmtId="0" fontId="3" fillId="0" borderId="2"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164" fontId="5" fillId="0" borderId="17" xfId="1" applyNumberFormat="1" applyFont="1" applyBorder="1" applyAlignment="1">
      <alignment horizontal="center" wrapText="1"/>
    </xf>
    <xf numFmtId="0" fontId="7" fillId="0" borderId="18" xfId="0" applyFont="1" applyBorder="1" applyAlignment="1">
      <alignment horizontal="center" wrapText="1"/>
    </xf>
    <xf numFmtId="0" fontId="5" fillId="0" borderId="16" xfId="0" applyFont="1" applyBorder="1" applyAlignment="1">
      <alignment horizontal="center" wrapText="1"/>
    </xf>
    <xf numFmtId="0" fontId="5" fillId="0" borderId="0" xfId="0" applyFont="1" applyAlignment="1">
      <alignment wrapText="1"/>
    </xf>
    <xf numFmtId="0" fontId="4" fillId="0" borderId="0" xfId="0" applyFont="1" applyAlignment="1">
      <alignment horizontal="center"/>
    </xf>
    <xf numFmtId="164" fontId="4" fillId="0" borderId="0" xfId="1" applyNumberFormat="1" applyFont="1"/>
    <xf numFmtId="0" fontId="5" fillId="0" borderId="0" xfId="0" applyFont="1" applyAlignment="1">
      <alignment horizontal="center"/>
    </xf>
    <xf numFmtId="0" fontId="10" fillId="0" borderId="0" xfId="0" applyFont="1"/>
    <xf numFmtId="0" fontId="8" fillId="0" borderId="0" xfId="0" applyFont="1"/>
    <xf numFmtId="2" fontId="13" fillId="0" borderId="8" xfId="0" applyNumberFormat="1" applyFont="1" applyBorder="1" applyAlignment="1">
      <alignment vertical="center"/>
    </xf>
    <xf numFmtId="2" fontId="12" fillId="0" borderId="11" xfId="0" applyNumberFormat="1" applyFont="1" applyBorder="1" applyAlignment="1">
      <alignment vertical="center"/>
    </xf>
    <xf numFmtId="1" fontId="13" fillId="0" borderId="7" xfId="0" applyNumberFormat="1" applyFont="1" applyBorder="1" applyAlignment="1">
      <alignment vertical="center"/>
    </xf>
    <xf numFmtId="2" fontId="12" fillId="0" borderId="10" xfId="0" applyNumberFormat="1" applyFont="1" applyBorder="1" applyAlignment="1">
      <alignment vertical="top"/>
    </xf>
    <xf numFmtId="2" fontId="12" fillId="0" borderId="0" xfId="0" applyNumberFormat="1" applyFont="1" applyAlignment="1">
      <alignment vertical="top"/>
    </xf>
    <xf numFmtId="2" fontId="12" fillId="0" borderId="10" xfId="0" applyNumberFormat="1" applyFont="1" applyBorder="1" applyAlignment="1">
      <alignment vertical="center"/>
    </xf>
    <xf numFmtId="2" fontId="12" fillId="0" borderId="0" xfId="0" applyNumberFormat="1" applyFont="1" applyAlignment="1">
      <alignment vertical="center"/>
    </xf>
    <xf numFmtId="0" fontId="10" fillId="0" borderId="0" xfId="0" applyFont="1" applyAlignment="1">
      <alignment wrapText="1"/>
    </xf>
    <xf numFmtId="2" fontId="2" fillId="3" borderId="2" xfId="0" applyNumberFormat="1" applyFont="1" applyFill="1" applyBorder="1" applyAlignment="1">
      <alignment horizontal="center" vertical="center"/>
    </xf>
    <xf numFmtId="0" fontId="6" fillId="0" borderId="0" xfId="0" applyFont="1" applyAlignment="1">
      <alignment horizontal="center"/>
    </xf>
    <xf numFmtId="0" fontId="14" fillId="0" borderId="25" xfId="4" applyBorder="1" applyAlignment="1">
      <alignment horizontal="center" wrapText="1"/>
    </xf>
    <xf numFmtId="0" fontId="8" fillId="0" borderId="0" xfId="0" applyFont="1" applyAlignment="1">
      <alignment horizontal="right" wrapText="1"/>
    </xf>
    <xf numFmtId="0" fontId="4" fillId="2" borderId="2" xfId="0" applyFont="1" applyFill="1" applyBorder="1"/>
    <xf numFmtId="1" fontId="2"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2" fontId="6" fillId="4" borderId="2" xfId="0" applyNumberFormat="1" applyFont="1" applyFill="1" applyBorder="1" applyAlignment="1">
      <alignment horizontal="center" vertical="center"/>
    </xf>
    <xf numFmtId="2" fontId="6" fillId="0" borderId="2" xfId="0" applyNumberFormat="1" applyFont="1" applyBorder="1" applyAlignment="1">
      <alignment horizontal="center" vertical="center"/>
    </xf>
    <xf numFmtId="1" fontId="6" fillId="0" borderId="2" xfId="0" applyNumberFormat="1" applyFont="1" applyBorder="1" applyAlignment="1">
      <alignment horizontal="center" vertical="center"/>
    </xf>
    <xf numFmtId="2" fontId="6" fillId="5" borderId="2" xfId="0" applyNumberFormat="1" applyFont="1" applyFill="1" applyBorder="1" applyAlignment="1">
      <alignment horizontal="center" vertical="center"/>
    </xf>
    <xf numFmtId="2" fontId="6" fillId="6" borderId="2" xfId="0" applyNumberFormat="1" applyFont="1" applyFill="1" applyBorder="1" applyAlignment="1">
      <alignment horizontal="center" vertical="center"/>
    </xf>
    <xf numFmtId="2" fontId="6" fillId="7" borderId="2" xfId="0" applyNumberFormat="1" applyFont="1" applyFill="1" applyBorder="1" applyAlignment="1">
      <alignment horizontal="center" vertical="center"/>
    </xf>
    <xf numFmtId="2" fontId="6" fillId="8" borderId="2" xfId="0" applyNumberFormat="1" applyFont="1" applyFill="1" applyBorder="1" applyAlignment="1">
      <alignment horizontal="center" vertical="center"/>
    </xf>
    <xf numFmtId="2" fontId="6" fillId="9" borderId="2"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2" fontId="6" fillId="10" borderId="2" xfId="0" applyNumberFormat="1" applyFont="1" applyFill="1" applyBorder="1" applyAlignment="1">
      <alignment horizontal="center" vertical="center"/>
    </xf>
    <xf numFmtId="2" fontId="6" fillId="0" borderId="2" xfId="0" applyNumberFormat="1" applyFont="1" applyBorder="1" applyAlignment="1">
      <alignment horizontal="left" vertical="center" wrapText="1"/>
    </xf>
    <xf numFmtId="2" fontId="6" fillId="11" borderId="2" xfId="0" applyNumberFormat="1" applyFont="1" applyFill="1" applyBorder="1" applyAlignment="1">
      <alignment horizontal="center" vertical="center"/>
    </xf>
    <xf numFmtId="0" fontId="3" fillId="2" borderId="2" xfId="0" applyFont="1" applyFill="1" applyBorder="1" applyAlignment="1">
      <alignment horizontal="left" wrapText="1"/>
    </xf>
    <xf numFmtId="2" fontId="6" fillId="12" borderId="2" xfId="0" applyNumberFormat="1" applyFont="1" applyFill="1" applyBorder="1" applyAlignment="1">
      <alignment horizontal="center" vertical="center"/>
    </xf>
    <xf numFmtId="0" fontId="3" fillId="0" borderId="2" xfId="0" applyFont="1" applyBorder="1" applyAlignment="1">
      <alignment horizontal="left" wrapText="1"/>
    </xf>
    <xf numFmtId="2" fontId="6" fillId="13" borderId="2" xfId="0" applyNumberFormat="1" applyFont="1" applyFill="1" applyBorder="1" applyAlignment="1">
      <alignment horizontal="center" vertical="center"/>
    </xf>
    <xf numFmtId="0" fontId="4" fillId="0" borderId="2" xfId="0" applyFont="1" applyBorder="1" applyAlignment="1">
      <alignment horizontal="left" wrapText="1"/>
    </xf>
    <xf numFmtId="2" fontId="6" fillId="3" borderId="2" xfId="0" applyNumberFormat="1" applyFont="1" applyFill="1" applyBorder="1" applyAlignment="1">
      <alignment horizontal="center" vertical="center"/>
    </xf>
    <xf numFmtId="2" fontId="6" fillId="14" borderId="2" xfId="0" applyNumberFormat="1" applyFont="1" applyFill="1" applyBorder="1" applyAlignment="1">
      <alignment horizontal="center" vertical="center"/>
    </xf>
    <xf numFmtId="2" fontId="6" fillId="15" borderId="2" xfId="0" applyNumberFormat="1" applyFont="1" applyFill="1" applyBorder="1" applyAlignment="1">
      <alignment horizontal="center" vertical="center"/>
    </xf>
    <xf numFmtId="2" fontId="6" fillId="2" borderId="2" xfId="0" applyNumberFormat="1" applyFont="1" applyFill="1" applyBorder="1" applyAlignment="1">
      <alignment horizontal="center" vertical="center"/>
    </xf>
    <xf numFmtId="2" fontId="6" fillId="16" borderId="2" xfId="0" applyNumberFormat="1" applyFont="1" applyFill="1" applyBorder="1" applyAlignment="1">
      <alignment horizontal="center" vertical="center"/>
    </xf>
    <xf numFmtId="2" fontId="6" fillId="17" borderId="2" xfId="0" applyNumberFormat="1" applyFont="1" applyFill="1" applyBorder="1" applyAlignment="1">
      <alignment horizontal="center" vertical="center"/>
    </xf>
    <xf numFmtId="2" fontId="6" fillId="18" borderId="2" xfId="0" applyNumberFormat="1" applyFont="1" applyFill="1" applyBorder="1" applyAlignment="1">
      <alignment horizontal="center" vertical="center"/>
    </xf>
    <xf numFmtId="2" fontId="6" fillId="19" borderId="2" xfId="0" applyNumberFormat="1" applyFont="1" applyFill="1" applyBorder="1" applyAlignment="1">
      <alignment horizontal="center" vertical="center"/>
    </xf>
    <xf numFmtId="2" fontId="6" fillId="20" borderId="2" xfId="0" applyNumberFormat="1" applyFont="1" applyFill="1" applyBorder="1" applyAlignment="1">
      <alignment horizontal="center" vertical="center"/>
    </xf>
    <xf numFmtId="2" fontId="6" fillId="21" borderId="2" xfId="0" applyNumberFormat="1" applyFont="1" applyFill="1" applyBorder="1" applyAlignment="1">
      <alignment horizontal="center" vertical="center"/>
    </xf>
    <xf numFmtId="2" fontId="6" fillId="22" borderId="2" xfId="0" applyNumberFormat="1" applyFont="1" applyFill="1" applyBorder="1" applyAlignment="1">
      <alignment horizontal="center" vertical="center"/>
    </xf>
    <xf numFmtId="2" fontId="6" fillId="23" borderId="2" xfId="0" applyNumberFormat="1" applyFont="1" applyFill="1" applyBorder="1" applyAlignment="1">
      <alignment horizontal="center" vertical="center"/>
    </xf>
    <xf numFmtId="2" fontId="6" fillId="24" borderId="2" xfId="0" applyNumberFormat="1" applyFont="1" applyFill="1" applyBorder="1" applyAlignment="1">
      <alignment horizontal="center" vertical="center"/>
    </xf>
    <xf numFmtId="2" fontId="6" fillId="25" borderId="2" xfId="0" applyNumberFormat="1" applyFont="1" applyFill="1" applyBorder="1" applyAlignment="1">
      <alignment horizontal="center" vertical="center"/>
    </xf>
    <xf numFmtId="2" fontId="6" fillId="26" borderId="2" xfId="0" applyNumberFormat="1" applyFont="1" applyFill="1" applyBorder="1" applyAlignment="1">
      <alignment horizontal="center" vertical="center"/>
    </xf>
    <xf numFmtId="0" fontId="3" fillId="2" borderId="2" xfId="0" applyFont="1" applyFill="1" applyBorder="1" applyAlignment="1">
      <alignment horizontal="center"/>
    </xf>
    <xf numFmtId="0" fontId="6" fillId="0" borderId="0" xfId="0" applyFont="1" applyAlignment="1">
      <alignment horizontal="left"/>
    </xf>
    <xf numFmtId="0" fontId="6" fillId="0" borderId="2" xfId="0" applyFont="1" applyBorder="1" applyAlignment="1">
      <alignment horizontal="center"/>
    </xf>
    <xf numFmtId="2" fontId="6" fillId="27" borderId="2" xfId="0" applyNumberFormat="1" applyFont="1" applyFill="1" applyBorder="1" applyAlignment="1">
      <alignment horizontal="center" vertical="center"/>
    </xf>
    <xf numFmtId="0" fontId="14" fillId="28" borderId="2" xfId="4" applyFill="1" applyBorder="1" applyAlignment="1">
      <alignment horizontal="center" wrapText="1"/>
    </xf>
    <xf numFmtId="0" fontId="3" fillId="2" borderId="2" xfId="0" applyFont="1" applyFill="1" applyBorder="1"/>
    <xf numFmtId="0" fontId="6" fillId="0" borderId="0" xfId="3"/>
    <xf numFmtId="0" fontId="19" fillId="2" borderId="0" xfId="0" applyFont="1" applyFill="1" applyAlignment="1">
      <alignment horizontal="center"/>
    </xf>
    <xf numFmtId="165" fontId="0" fillId="0" borderId="0" xfId="0" applyNumberFormat="1" applyAlignment="1">
      <alignment horizontal="right"/>
    </xf>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22" fillId="0" borderId="0" xfId="0" applyFont="1" applyAlignment="1">
      <alignment horizontal="left" wrapText="1"/>
    </xf>
    <xf numFmtId="0" fontId="23" fillId="0" borderId="0" xfId="0" applyFont="1" applyAlignment="1">
      <alignment horizontal="left"/>
    </xf>
    <xf numFmtId="0" fontId="22" fillId="0" borderId="0" xfId="0" applyFont="1" applyAlignment="1">
      <alignment horizontal="left"/>
    </xf>
    <xf numFmtId="0" fontId="22" fillId="0" borderId="0" xfId="0" applyFont="1"/>
    <xf numFmtId="165" fontId="22" fillId="0" borderId="0" xfId="0" applyNumberFormat="1" applyFont="1" applyAlignment="1">
      <alignment horizontal="center" wrapText="1"/>
    </xf>
    <xf numFmtId="0" fontId="22" fillId="0" borderId="0" xfId="0" applyFont="1" applyAlignment="1">
      <alignment horizontal="center" wrapText="1"/>
    </xf>
    <xf numFmtId="165" fontId="22" fillId="0" borderId="0" xfId="0" applyNumberFormat="1" applyFont="1" applyAlignment="1">
      <alignment horizontal="left" wrapText="1"/>
    </xf>
    <xf numFmtId="0" fontId="21" fillId="0" borderId="0" xfId="0" quotePrefix="1" applyFont="1"/>
    <xf numFmtId="0" fontId="0" fillId="0" borderId="0" xfId="0" quotePrefix="1"/>
    <xf numFmtId="167" fontId="0" fillId="0" borderId="0" xfId="0" applyNumberFormat="1" applyAlignment="1">
      <alignment horizontal="right"/>
    </xf>
    <xf numFmtId="169" fontId="0" fillId="0" borderId="0" xfId="0" applyNumberFormat="1" applyAlignment="1">
      <alignment horizontal="right"/>
    </xf>
    <xf numFmtId="0" fontId="21" fillId="0" borderId="0" xfId="0" applyFont="1"/>
    <xf numFmtId="0" fontId="21" fillId="29" borderId="0" xfId="0" applyFont="1" applyFill="1"/>
    <xf numFmtId="0" fontId="26" fillId="0" borderId="0" xfId="0" applyFont="1"/>
    <xf numFmtId="166" fontId="0" fillId="0" borderId="0" xfId="0" applyNumberFormat="1" applyAlignment="1">
      <alignment horizontal="right"/>
    </xf>
    <xf numFmtId="0" fontId="20" fillId="0" borderId="0" xfId="0" applyFont="1" applyAlignment="1">
      <alignment wrapText="1"/>
    </xf>
    <xf numFmtId="0" fontId="20" fillId="0" borderId="0" xfId="0" applyFont="1"/>
    <xf numFmtId="3" fontId="5" fillId="0" borderId="0" xfId="1" applyNumberFormat="1" applyFont="1" applyAlignment="1">
      <alignment vertical="top"/>
    </xf>
    <xf numFmtId="170" fontId="5" fillId="0" borderId="0" xfId="1" applyNumberFormat="1" applyFont="1" applyAlignment="1">
      <alignment vertical="top"/>
    </xf>
    <xf numFmtId="0" fontId="4" fillId="0" borderId="30" xfId="0" applyFont="1" applyBorder="1"/>
    <xf numFmtId="167" fontId="4" fillId="0" borderId="0" xfId="0" applyNumberFormat="1" applyFont="1"/>
    <xf numFmtId="10" fontId="4" fillId="0" borderId="0" xfId="0" applyNumberFormat="1" applyFont="1" applyAlignment="1">
      <alignment horizontal="right"/>
    </xf>
    <xf numFmtId="0" fontId="10" fillId="0" borderId="0" xfId="0" applyFont="1" applyAlignment="1">
      <alignment horizontal="center"/>
    </xf>
    <xf numFmtId="168" fontId="5" fillId="0" borderId="16" xfId="1" applyNumberFormat="1" applyFont="1" applyBorder="1" applyAlignment="1">
      <alignment horizontal="center" wrapText="1"/>
    </xf>
    <xf numFmtId="43" fontId="5" fillId="0" borderId="17" xfId="1" applyFont="1" applyBorder="1" applyAlignment="1">
      <alignment horizontal="center" wrapText="1"/>
    </xf>
    <xf numFmtId="0" fontId="3" fillId="0" borderId="26" xfId="0" applyFont="1" applyBorder="1" applyAlignment="1" applyProtection="1">
      <alignment vertical="center" wrapText="1"/>
      <protection locked="0"/>
    </xf>
    <xf numFmtId="0" fontId="3" fillId="0" borderId="0" xfId="0" applyFont="1" applyAlignment="1">
      <alignment vertical="center" wrapText="1"/>
    </xf>
    <xf numFmtId="0" fontId="3" fillId="0" borderId="6" xfId="0" applyFont="1" applyBorder="1" applyAlignment="1" applyProtection="1">
      <alignment vertical="center" wrapText="1"/>
      <protection locked="0"/>
    </xf>
    <xf numFmtId="43" fontId="7" fillId="0" borderId="18" xfId="1" applyFont="1" applyBorder="1" applyAlignment="1">
      <alignment horizontal="center" wrapText="1"/>
    </xf>
    <xf numFmtId="43" fontId="7" fillId="0" borderId="17" xfId="1" applyFont="1" applyBorder="1" applyAlignment="1">
      <alignment horizontal="center" wrapText="1"/>
    </xf>
    <xf numFmtId="0" fontId="2" fillId="0" borderId="35" xfId="0" applyFont="1" applyBorder="1" applyAlignment="1">
      <alignment horizontal="center" wrapText="1"/>
    </xf>
    <xf numFmtId="0" fontId="17" fillId="2" borderId="19" xfId="0" applyFont="1" applyFill="1" applyBorder="1" applyAlignment="1">
      <alignment horizontal="center" wrapText="1"/>
    </xf>
    <xf numFmtId="10" fontId="19" fillId="2" borderId="15" xfId="5" applyNumberFormat="1" applyFont="1" applyFill="1" applyBorder="1" applyAlignment="1">
      <alignment horizontal="center" vertical="center" wrapText="1"/>
    </xf>
    <xf numFmtId="10" fontId="19" fillId="2" borderId="24" xfId="5" applyNumberFormat="1" applyFont="1" applyFill="1" applyBorder="1" applyAlignment="1">
      <alignment horizontal="center" vertical="center" wrapText="1"/>
    </xf>
    <xf numFmtId="10" fontId="19" fillId="2" borderId="18" xfId="5" applyNumberFormat="1" applyFont="1" applyFill="1" applyBorder="1" applyAlignment="1">
      <alignment horizontal="center" vertical="center" wrapText="1"/>
    </xf>
    <xf numFmtId="43" fontId="17" fillId="2" borderId="20" xfId="1" applyFont="1" applyFill="1" applyBorder="1" applyAlignment="1">
      <alignment horizontal="center" wrapText="1"/>
    </xf>
    <xf numFmtId="9" fontId="19" fillId="2" borderId="11" xfId="5" applyFont="1" applyFill="1" applyBorder="1" applyAlignment="1">
      <alignment horizontal="center" vertical="center" wrapText="1"/>
    </xf>
    <xf numFmtId="9" fontId="19" fillId="2" borderId="6" xfId="5" applyFont="1" applyFill="1" applyBorder="1" applyAlignment="1">
      <alignment horizontal="center" vertical="center" wrapText="1"/>
    </xf>
    <xf numFmtId="9" fontId="19" fillId="2" borderId="2" xfId="5" applyFont="1" applyFill="1" applyBorder="1" applyAlignment="1">
      <alignment horizontal="center" vertical="center" wrapText="1"/>
    </xf>
    <xf numFmtId="0" fontId="27" fillId="0" borderId="0" xfId="0" applyFont="1"/>
    <xf numFmtId="0" fontId="6" fillId="0" borderId="8" xfId="3" applyBorder="1"/>
    <xf numFmtId="0" fontId="3" fillId="0" borderId="8" xfId="0" applyFont="1" applyBorder="1"/>
    <xf numFmtId="0" fontId="6" fillId="0" borderId="29" xfId="3" applyBorder="1"/>
    <xf numFmtId="0" fontId="6" fillId="0" borderId="9" xfId="3" applyBorder="1" applyAlignment="1">
      <alignment horizontal="left"/>
    </xf>
    <xf numFmtId="0" fontId="3" fillId="0" borderId="9" xfId="0" applyFont="1" applyBorder="1"/>
    <xf numFmtId="0" fontId="3" fillId="0" borderId="7" xfId="0" applyFont="1" applyBorder="1"/>
    <xf numFmtId="9" fontId="19" fillId="2" borderId="20" xfId="5" applyFont="1" applyFill="1" applyBorder="1" applyAlignment="1">
      <alignment horizontal="center" vertical="center" wrapText="1"/>
    </xf>
    <xf numFmtId="0" fontId="5" fillId="0" borderId="20" xfId="0" applyFont="1" applyBorder="1" applyAlignment="1">
      <alignment horizontal="center" wrapText="1"/>
    </xf>
    <xf numFmtId="39" fontId="5" fillId="0" borderId="0" xfId="1" applyNumberFormat="1" applyFont="1" applyAlignment="1">
      <alignment vertical="top"/>
    </xf>
    <xf numFmtId="0" fontId="3" fillId="0" borderId="29" xfId="0" applyFont="1" applyBorder="1"/>
    <xf numFmtId="0" fontId="2" fillId="0" borderId="0" xfId="3" applyFont="1" applyAlignment="1">
      <alignment horizontal="right" vertical="center"/>
    </xf>
    <xf numFmtId="0" fontId="5" fillId="0" borderId="0" xfId="0" applyFont="1" applyAlignment="1">
      <alignment horizontal="right" vertical="center"/>
    </xf>
    <xf numFmtId="43" fontId="17" fillId="2" borderId="17" xfId="1" applyFont="1" applyFill="1" applyBorder="1" applyAlignment="1">
      <alignment horizontal="center" wrapText="1"/>
    </xf>
    <xf numFmtId="167" fontId="19" fillId="2" borderId="6" xfId="1" applyNumberFormat="1" applyFont="1" applyFill="1" applyBorder="1" applyAlignment="1">
      <alignment vertical="center" wrapText="1"/>
    </xf>
    <xf numFmtId="167" fontId="19" fillId="2" borderId="17" xfId="1" applyNumberFormat="1" applyFont="1" applyFill="1" applyBorder="1" applyAlignment="1">
      <alignment vertical="center" wrapText="1"/>
    </xf>
    <xf numFmtId="43" fontId="32" fillId="2" borderId="20" xfId="1" applyFont="1" applyFill="1" applyBorder="1" applyAlignment="1">
      <alignment horizontal="center" wrapText="1"/>
    </xf>
    <xf numFmtId="0" fontId="8" fillId="0" borderId="6" xfId="0" applyFont="1" applyBorder="1" applyAlignment="1" applyProtection="1">
      <alignment vertical="center" wrapText="1"/>
      <protection locked="0"/>
    </xf>
    <xf numFmtId="0" fontId="8" fillId="0" borderId="6" xfId="1" applyNumberFormat="1" applyFont="1" applyBorder="1" applyAlignment="1" applyProtection="1">
      <alignment vertical="center" wrapText="1"/>
      <protection locked="0"/>
    </xf>
    <xf numFmtId="3" fontId="3" fillId="0" borderId="6" xfId="0" applyNumberFormat="1" applyFont="1" applyBorder="1" applyAlignment="1" applyProtection="1">
      <alignment vertical="center" wrapText="1"/>
      <protection locked="0"/>
    </xf>
    <xf numFmtId="0" fontId="3" fillId="0" borderId="6" xfId="0" applyFont="1" applyBorder="1" applyAlignment="1" applyProtection="1">
      <alignment horizontal="center" vertical="center" wrapText="1"/>
      <protection locked="0"/>
    </xf>
    <xf numFmtId="3" fontId="3" fillId="0" borderId="22" xfId="0" applyNumberFormat="1" applyFont="1" applyBorder="1" applyAlignment="1" applyProtection="1">
      <alignment horizontal="center" vertical="center" wrapText="1"/>
      <protection locked="0"/>
    </xf>
    <xf numFmtId="0" fontId="3" fillId="0" borderId="21"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3" fontId="3" fillId="0" borderId="2" xfId="0" applyNumberFormat="1" applyFont="1" applyBorder="1" applyAlignment="1" applyProtection="1">
      <alignment vertical="center" wrapText="1"/>
      <protection locked="0"/>
    </xf>
    <xf numFmtId="0" fontId="3" fillId="0" borderId="2" xfId="0" applyFont="1" applyBorder="1" applyAlignment="1" applyProtection="1">
      <alignment horizontal="center" vertical="center" wrapText="1"/>
      <protection locked="0"/>
    </xf>
    <xf numFmtId="0" fontId="8" fillId="0" borderId="33" xfId="0" applyFont="1" applyBorder="1" applyAlignment="1" applyProtection="1">
      <alignment vertical="center" wrapText="1"/>
      <protection locked="0"/>
    </xf>
    <xf numFmtId="0" fontId="3" fillId="0" borderId="33" xfId="0" applyFont="1" applyBorder="1" applyAlignment="1" applyProtection="1">
      <alignment vertical="center" wrapText="1"/>
      <protection locked="0"/>
    </xf>
    <xf numFmtId="0" fontId="8" fillId="0" borderId="33" xfId="1" applyNumberFormat="1" applyFont="1" applyBorder="1" applyAlignment="1" applyProtection="1">
      <alignment vertical="center" wrapText="1"/>
      <protection locked="0"/>
    </xf>
    <xf numFmtId="3" fontId="3" fillId="0" borderId="33" xfId="0" applyNumberFormat="1" applyFont="1" applyBorder="1" applyAlignment="1" applyProtection="1">
      <alignment vertical="center" wrapText="1"/>
      <protection locked="0"/>
    </xf>
    <xf numFmtId="0" fontId="3" fillId="0" borderId="33" xfId="0" applyFont="1" applyBorder="1" applyAlignment="1" applyProtection="1">
      <alignment horizontal="center" vertical="center" wrapText="1"/>
      <protection locked="0"/>
    </xf>
    <xf numFmtId="3" fontId="3" fillId="0" borderId="34" xfId="0" applyNumberFormat="1" applyFont="1" applyBorder="1" applyAlignment="1" applyProtection="1">
      <alignment horizontal="center" vertical="center" wrapText="1"/>
      <protection locked="0"/>
    </xf>
    <xf numFmtId="0" fontId="3" fillId="0" borderId="32" xfId="0" applyFont="1" applyBorder="1" applyAlignment="1" applyProtection="1">
      <alignment vertical="center" wrapText="1"/>
      <protection locked="0"/>
    </xf>
    <xf numFmtId="3" fontId="3" fillId="31" borderId="6" xfId="0" applyNumberFormat="1" applyFont="1" applyFill="1" applyBorder="1" applyAlignment="1">
      <alignment horizontal="center" vertical="center" wrapText="1"/>
    </xf>
    <xf numFmtId="3" fontId="3" fillId="31" borderId="2" xfId="0" applyNumberFormat="1" applyFont="1" applyFill="1" applyBorder="1" applyAlignment="1">
      <alignment horizontal="center" vertical="center" wrapText="1"/>
    </xf>
    <xf numFmtId="3" fontId="3" fillId="31" borderId="33" xfId="0" applyNumberFormat="1" applyFont="1" applyFill="1" applyBorder="1" applyAlignment="1">
      <alignment horizontal="center" vertical="center" wrapText="1"/>
    </xf>
    <xf numFmtId="1" fontId="3" fillId="31" borderId="6" xfId="0" applyNumberFormat="1" applyFont="1" applyFill="1" applyBorder="1" applyAlignment="1">
      <alignment horizontal="center" vertical="center" wrapText="1"/>
    </xf>
    <xf numFmtId="1" fontId="3" fillId="31" borderId="33" xfId="0" applyNumberFormat="1" applyFont="1" applyFill="1" applyBorder="1" applyAlignment="1">
      <alignment horizontal="center" vertical="center" wrapText="1"/>
    </xf>
    <xf numFmtId="167" fontId="3" fillId="31" borderId="2" xfId="0" applyNumberFormat="1" applyFont="1" applyFill="1" applyBorder="1" applyAlignment="1">
      <alignment vertical="center" wrapText="1"/>
    </xf>
    <xf numFmtId="167" fontId="3" fillId="31" borderId="17" xfId="0" applyNumberFormat="1" applyFont="1" applyFill="1" applyBorder="1" applyAlignment="1">
      <alignment vertical="center" wrapText="1"/>
    </xf>
    <xf numFmtId="167" fontId="3" fillId="31" borderId="24" xfId="0" applyNumberFormat="1" applyFont="1" applyFill="1" applyBorder="1" applyAlignment="1">
      <alignment vertical="center" wrapText="1"/>
    </xf>
    <xf numFmtId="167" fontId="3" fillId="31" borderId="18" xfId="0" applyNumberFormat="1" applyFont="1" applyFill="1" applyBorder="1" applyAlignment="1">
      <alignment vertical="center" wrapText="1"/>
    </xf>
    <xf numFmtId="167" fontId="3" fillId="31" borderId="31" xfId="0" applyNumberFormat="1" applyFont="1" applyFill="1" applyBorder="1" applyAlignment="1">
      <alignment vertical="center" wrapText="1"/>
    </xf>
    <xf numFmtId="167" fontId="3" fillId="31" borderId="14" xfId="0" quotePrefix="1" applyNumberFormat="1" applyFont="1" applyFill="1" applyBorder="1" applyAlignment="1">
      <alignment vertical="center" wrapText="1"/>
    </xf>
    <xf numFmtId="167" fontId="3" fillId="31" borderId="27" xfId="0" applyNumberFormat="1" applyFont="1" applyFill="1" applyBorder="1" applyAlignment="1">
      <alignment vertical="center" wrapText="1"/>
    </xf>
    <xf numFmtId="167" fontId="3" fillId="31" borderId="1" xfId="0" applyNumberFormat="1" applyFont="1" applyFill="1" applyBorder="1" applyAlignment="1">
      <alignment vertical="center" wrapText="1"/>
    </xf>
    <xf numFmtId="167" fontId="3" fillId="31" borderId="27" xfId="0" quotePrefix="1" applyNumberFormat="1" applyFont="1" applyFill="1" applyBorder="1" applyAlignment="1">
      <alignment vertical="center" wrapText="1"/>
    </xf>
    <xf numFmtId="167" fontId="3" fillId="31" borderId="20" xfId="0" applyNumberFormat="1" applyFont="1" applyFill="1" applyBorder="1" applyAlignment="1">
      <alignment vertical="center" wrapText="1"/>
    </xf>
    <xf numFmtId="167" fontId="3" fillId="31" borderId="19" xfId="0" applyNumberFormat="1" applyFont="1" applyFill="1" applyBorder="1" applyAlignment="1">
      <alignment vertical="center" wrapText="1"/>
    </xf>
    <xf numFmtId="167" fontId="3" fillId="31" borderId="20" xfId="0" quotePrefix="1" applyNumberFormat="1" applyFont="1" applyFill="1" applyBorder="1" applyAlignment="1">
      <alignment vertical="center" wrapText="1"/>
    </xf>
    <xf numFmtId="4" fontId="3" fillId="31" borderId="12" xfId="0" applyNumberFormat="1" applyFont="1" applyFill="1" applyBorder="1" applyAlignment="1">
      <alignment vertical="center" wrapText="1"/>
    </xf>
    <xf numFmtId="3" fontId="3" fillId="31" borderId="13" xfId="0" applyNumberFormat="1" applyFont="1" applyFill="1" applyBorder="1" applyAlignment="1">
      <alignment vertical="center" wrapText="1"/>
    </xf>
    <xf numFmtId="2" fontId="3" fillId="31" borderId="13" xfId="0" applyNumberFormat="1" applyFont="1" applyFill="1" applyBorder="1" applyAlignment="1">
      <alignment vertical="center" wrapText="1"/>
    </xf>
    <xf numFmtId="3" fontId="3" fillId="31" borderId="15" xfId="0" applyNumberFormat="1" applyFont="1" applyFill="1" applyBorder="1" applyAlignment="1">
      <alignment vertical="center" wrapText="1"/>
    </xf>
    <xf numFmtId="39" fontId="3" fillId="31" borderId="12" xfId="1" applyNumberFormat="1" applyFont="1" applyFill="1" applyBorder="1" applyAlignment="1">
      <alignment vertical="center" wrapText="1"/>
    </xf>
    <xf numFmtId="3" fontId="3" fillId="31" borderId="13" xfId="1" applyNumberFormat="1" applyFont="1" applyFill="1" applyBorder="1" applyAlignment="1">
      <alignment vertical="center" wrapText="1"/>
    </xf>
    <xf numFmtId="167" fontId="3" fillId="31" borderId="13" xfId="1" applyNumberFormat="1" applyFont="1" applyFill="1" applyBorder="1" applyAlignment="1">
      <alignment vertical="center" wrapText="1"/>
    </xf>
    <xf numFmtId="170" fontId="3" fillId="31" borderId="6" xfId="1" applyNumberFormat="1" applyFont="1" applyFill="1" applyBorder="1" applyAlignment="1">
      <alignment vertical="center" wrapText="1"/>
    </xf>
    <xf numFmtId="167" fontId="3" fillId="31" borderId="6" xfId="1" applyNumberFormat="1" applyFont="1" applyFill="1" applyBorder="1" applyAlignment="1">
      <alignment vertical="center" wrapText="1"/>
    </xf>
    <xf numFmtId="4" fontId="3" fillId="31" borderId="23" xfId="0" applyNumberFormat="1" applyFont="1" applyFill="1" applyBorder="1" applyAlignment="1">
      <alignment vertical="center" wrapText="1"/>
    </xf>
    <xf numFmtId="3" fontId="3" fillId="31" borderId="2" xfId="0" applyNumberFormat="1" applyFont="1" applyFill="1" applyBorder="1" applyAlignment="1">
      <alignment vertical="center" wrapText="1"/>
    </xf>
    <xf numFmtId="2" fontId="3" fillId="31" borderId="2" xfId="0" applyNumberFormat="1" applyFont="1" applyFill="1" applyBorder="1" applyAlignment="1">
      <alignment vertical="center" wrapText="1"/>
    </xf>
    <xf numFmtId="3" fontId="3" fillId="31" borderId="24" xfId="0" applyNumberFormat="1" applyFont="1" applyFill="1" applyBorder="1" applyAlignment="1">
      <alignment vertical="center" wrapText="1"/>
    </xf>
    <xf numFmtId="39" fontId="3" fillId="31" borderId="23" xfId="1" applyNumberFormat="1" applyFont="1" applyFill="1" applyBorder="1" applyAlignment="1">
      <alignment vertical="center" wrapText="1"/>
    </xf>
    <xf numFmtId="3" fontId="3" fillId="31" borderId="2" xfId="1" applyNumberFormat="1" applyFont="1" applyFill="1" applyBorder="1" applyAlignment="1">
      <alignment vertical="center" wrapText="1"/>
    </xf>
    <xf numFmtId="167" fontId="3" fillId="31" borderId="2" xfId="1" applyNumberFormat="1" applyFont="1" applyFill="1" applyBorder="1" applyAlignment="1">
      <alignment vertical="center" wrapText="1"/>
    </xf>
    <xf numFmtId="4" fontId="3" fillId="31" borderId="16" xfId="0" applyNumberFormat="1" applyFont="1" applyFill="1" applyBorder="1" applyAlignment="1">
      <alignment vertical="center" wrapText="1"/>
    </xf>
    <xf numFmtId="3" fontId="3" fillId="31" borderId="17" xfId="0" applyNumberFormat="1" applyFont="1" applyFill="1" applyBorder="1" applyAlignment="1">
      <alignment vertical="center" wrapText="1"/>
    </xf>
    <xf numFmtId="2" fontId="3" fillId="31" borderId="17" xfId="0" applyNumberFormat="1" applyFont="1" applyFill="1" applyBorder="1" applyAlignment="1">
      <alignment vertical="center" wrapText="1"/>
    </xf>
    <xf numFmtId="3" fontId="3" fillId="31" borderId="18" xfId="0" applyNumberFormat="1" applyFont="1" applyFill="1" applyBorder="1" applyAlignment="1">
      <alignment vertical="center" wrapText="1"/>
    </xf>
    <xf numFmtId="39" fontId="3" fillId="31" borderId="16" xfId="1" applyNumberFormat="1" applyFont="1" applyFill="1" applyBorder="1" applyAlignment="1">
      <alignment vertical="center" wrapText="1"/>
    </xf>
    <xf numFmtId="3" fontId="3" fillId="31" borderId="17" xfId="1" applyNumberFormat="1" applyFont="1" applyFill="1" applyBorder="1" applyAlignment="1">
      <alignment vertical="center" wrapText="1"/>
    </xf>
    <xf numFmtId="167" fontId="3" fillId="31" borderId="17" xfId="1" applyNumberFormat="1" applyFont="1" applyFill="1" applyBorder="1" applyAlignment="1">
      <alignment vertical="center" wrapText="1"/>
    </xf>
    <xf numFmtId="170" fontId="3" fillId="31" borderId="17" xfId="1" applyNumberFormat="1" applyFont="1" applyFill="1" applyBorder="1" applyAlignment="1">
      <alignment vertical="center" wrapText="1"/>
    </xf>
    <xf numFmtId="170" fontId="3" fillId="31" borderId="22" xfId="1" applyNumberFormat="1" applyFont="1" applyFill="1" applyBorder="1" applyAlignment="1">
      <alignment vertical="center" wrapText="1"/>
    </xf>
    <xf numFmtId="170" fontId="3" fillId="31" borderId="18" xfId="1" applyNumberFormat="1" applyFont="1" applyFill="1" applyBorder="1" applyAlignment="1">
      <alignment vertical="center" wrapText="1"/>
    </xf>
    <xf numFmtId="0" fontId="3" fillId="0" borderId="37" xfId="0" applyFont="1" applyBorder="1"/>
    <xf numFmtId="0" fontId="3" fillId="0" borderId="11" xfId="0" applyFont="1" applyBorder="1" applyAlignment="1" applyProtection="1">
      <alignment horizontal="center" vertical="center" wrapText="1"/>
      <protection locked="0"/>
    </xf>
    <xf numFmtId="167" fontId="3" fillId="0" borderId="12" xfId="0" applyNumberFormat="1" applyFont="1" applyBorder="1" applyAlignment="1" applyProtection="1">
      <alignment vertical="center" wrapText="1"/>
      <protection locked="0"/>
    </xf>
    <xf numFmtId="0" fontId="3" fillId="0" borderId="27" xfId="0" applyFont="1" applyBorder="1" applyAlignment="1" applyProtection="1">
      <alignment horizontal="center" vertical="center" wrapText="1"/>
      <protection locked="0"/>
    </xf>
    <xf numFmtId="167" fontId="3" fillId="0" borderId="23" xfId="0" applyNumberFormat="1" applyFont="1" applyBorder="1" applyAlignment="1" applyProtection="1">
      <alignment vertical="center" wrapText="1"/>
      <protection locked="0"/>
    </xf>
    <xf numFmtId="0" fontId="3" fillId="0" borderId="36" xfId="0" applyFont="1" applyBorder="1" applyAlignment="1" applyProtection="1">
      <alignment horizontal="center" vertical="center" wrapText="1"/>
      <protection locked="0"/>
    </xf>
    <xf numFmtId="167" fontId="3" fillId="0" borderId="16" xfId="0" applyNumberFormat="1" applyFont="1" applyBorder="1" applyAlignment="1" applyProtection="1">
      <alignment vertical="center" wrapText="1"/>
      <protection locked="0"/>
    </xf>
    <xf numFmtId="0" fontId="3" fillId="31" borderId="21" xfId="0" applyFont="1" applyFill="1" applyBorder="1" applyAlignment="1">
      <alignment horizontal="center" vertical="center" wrapText="1"/>
    </xf>
    <xf numFmtId="0" fontId="3" fillId="31" borderId="23" xfId="0" applyFont="1" applyFill="1" applyBorder="1" applyAlignment="1">
      <alignment horizontal="center" vertical="center" wrapText="1"/>
    </xf>
    <xf numFmtId="0" fontId="3" fillId="31" borderId="32" xfId="0" applyFont="1" applyFill="1" applyBorder="1" applyAlignment="1">
      <alignment horizontal="center" vertical="center" wrapText="1"/>
    </xf>
    <xf numFmtId="0" fontId="5" fillId="0" borderId="16" xfId="0" applyFont="1" applyBorder="1" applyAlignment="1">
      <alignment horizontal="center" textRotation="90" wrapText="1"/>
    </xf>
    <xf numFmtId="0" fontId="4" fillId="0" borderId="0" xfId="0" applyFont="1" applyAlignment="1">
      <alignment horizontal="center" vertical="top"/>
    </xf>
    <xf numFmtId="0" fontId="4" fillId="0" borderId="0" xfId="0" applyFont="1" applyAlignment="1">
      <alignment vertical="top"/>
    </xf>
    <xf numFmtId="164" fontId="4" fillId="0" borderId="0" xfId="1" applyNumberFormat="1" applyFont="1" applyAlignment="1">
      <alignment vertical="top"/>
    </xf>
    <xf numFmtId="0" fontId="10" fillId="0" borderId="0" xfId="0" applyFont="1" applyAlignment="1">
      <alignment vertical="top"/>
    </xf>
    <xf numFmtId="0" fontId="10" fillId="0" borderId="0" xfId="0" applyFont="1" applyAlignment="1">
      <alignment horizontal="right" vertical="top"/>
    </xf>
    <xf numFmtId="0" fontId="5" fillId="0" borderId="0" xfId="0" applyFont="1" applyAlignment="1">
      <alignment horizontal="center" vertical="top"/>
    </xf>
    <xf numFmtId="0" fontId="5" fillId="0" borderId="0" xfId="0" applyFont="1" applyAlignment="1">
      <alignment vertical="top"/>
    </xf>
    <xf numFmtId="167" fontId="5" fillId="0" borderId="0" xfId="0" applyNumberFormat="1" applyFont="1" applyAlignment="1">
      <alignment vertical="top"/>
    </xf>
    <xf numFmtId="4" fontId="5" fillId="0" borderId="0" xfId="0" applyNumberFormat="1" applyFont="1" applyAlignment="1">
      <alignment vertical="top"/>
    </xf>
    <xf numFmtId="3" fontId="5" fillId="0" borderId="0" xfId="0" applyNumberFormat="1" applyFont="1" applyAlignment="1">
      <alignment vertical="top"/>
    </xf>
    <xf numFmtId="2" fontId="5" fillId="0" borderId="0" xfId="0" applyNumberFormat="1" applyFont="1" applyAlignment="1">
      <alignment vertical="top"/>
    </xf>
    <xf numFmtId="167" fontId="5" fillId="0" borderId="0" xfId="1" applyNumberFormat="1" applyFont="1" applyAlignment="1">
      <alignment vertical="top"/>
    </xf>
    <xf numFmtId="0" fontId="33" fillId="0" borderId="0" xfId="0" applyFont="1" applyAlignment="1">
      <alignment horizontal="right"/>
    </xf>
    <xf numFmtId="0" fontId="28" fillId="0" borderId="0" xfId="3" applyFont="1"/>
    <xf numFmtId="0" fontId="8" fillId="0" borderId="10" xfId="0" applyFont="1" applyBorder="1" applyAlignment="1">
      <alignment horizontal="right"/>
    </xf>
    <xf numFmtId="0" fontId="28" fillId="0" borderId="10" xfId="3" applyFont="1" applyBorder="1" applyAlignment="1">
      <alignment horizontal="right"/>
    </xf>
    <xf numFmtId="0" fontId="8" fillId="0" borderId="11" xfId="0" applyFont="1" applyBorder="1" applyAlignment="1">
      <alignment horizontal="right"/>
    </xf>
    <xf numFmtId="0" fontId="8" fillId="0" borderId="10" xfId="0" applyFont="1" applyBorder="1"/>
    <xf numFmtId="0" fontId="28" fillId="0" borderId="10" xfId="3" applyFont="1" applyBorder="1"/>
    <xf numFmtId="0" fontId="8" fillId="0" borderId="11" xfId="0" applyFont="1" applyBorder="1"/>
    <xf numFmtId="0" fontId="6" fillId="0" borderId="28" xfId="3" applyBorder="1"/>
    <xf numFmtId="0" fontId="0" fillId="2" borderId="0" xfId="0" applyFill="1"/>
    <xf numFmtId="0" fontId="37" fillId="30" borderId="2" xfId="0" applyFont="1" applyFill="1" applyBorder="1" applyAlignment="1">
      <alignment textRotation="90" wrapText="1"/>
    </xf>
    <xf numFmtId="0" fontId="37" fillId="30" borderId="2" xfId="0" applyFont="1" applyFill="1" applyBorder="1" applyAlignment="1">
      <alignment horizontal="center" wrapText="1"/>
    </xf>
    <xf numFmtId="0" fontId="38" fillId="0" borderId="2" xfId="0" applyFont="1" applyBorder="1" applyAlignment="1">
      <alignment vertical="center"/>
    </xf>
    <xf numFmtId="0" fontId="38" fillId="0" borderId="2" xfId="0" applyFont="1" applyBorder="1" applyAlignment="1">
      <alignment vertical="center" wrapText="1"/>
    </xf>
    <xf numFmtId="3" fontId="38" fillId="0" borderId="2" xfId="0" applyNumberFormat="1" applyFont="1" applyBorder="1" applyAlignment="1">
      <alignment vertical="center" wrapText="1"/>
    </xf>
    <xf numFmtId="165" fontId="38" fillId="0" borderId="2" xfId="0" applyNumberFormat="1" applyFont="1" applyBorder="1" applyAlignment="1">
      <alignment vertical="center" wrapText="1"/>
    </xf>
    <xf numFmtId="4" fontId="38" fillId="0" borderId="2" xfId="0" applyNumberFormat="1" applyFont="1" applyBorder="1" applyAlignment="1">
      <alignment vertical="center" wrapText="1"/>
    </xf>
    <xf numFmtId="0" fontId="39" fillId="0" borderId="0" xfId="0" applyFont="1" applyAlignment="1">
      <alignment horizontal="right" vertical="center"/>
    </xf>
    <xf numFmtId="166" fontId="36" fillId="0" borderId="0" xfId="0" applyNumberFormat="1" applyFont="1" applyAlignment="1">
      <alignment horizontal="left" vertical="center"/>
    </xf>
    <xf numFmtId="0" fontId="41" fillId="0" borderId="0" xfId="0" applyFont="1" applyAlignment="1">
      <alignment horizontal="right" vertical="center"/>
    </xf>
    <xf numFmtId="0" fontId="36" fillId="0" borderId="0" xfId="0" applyFont="1"/>
    <xf numFmtId="0" fontId="36" fillId="0" borderId="0" xfId="0" applyFont="1" applyAlignment="1">
      <alignment wrapText="1"/>
    </xf>
    <xf numFmtId="0" fontId="38" fillId="0" borderId="0" xfId="0" applyFont="1" applyAlignment="1">
      <alignment wrapText="1"/>
    </xf>
    <xf numFmtId="0" fontId="38" fillId="0" borderId="0" xfId="0" applyFont="1" applyAlignment="1">
      <alignment vertical="center"/>
    </xf>
    <xf numFmtId="0" fontId="38" fillId="0" borderId="0" xfId="0" applyFont="1"/>
    <xf numFmtId="0" fontId="27" fillId="0" borderId="0" xfId="0" applyFont="1" applyAlignment="1">
      <alignment wrapText="1"/>
    </xf>
    <xf numFmtId="43" fontId="5" fillId="0" borderId="18" xfId="1" applyFont="1" applyBorder="1" applyAlignment="1">
      <alignment horizontal="center" wrapText="1"/>
    </xf>
    <xf numFmtId="0" fontId="3" fillId="0" borderId="2" xfId="0" applyFont="1" applyBorder="1" applyAlignment="1" applyProtection="1">
      <alignment vertical="center" wrapText="1"/>
      <protection locked="0"/>
    </xf>
    <xf numFmtId="13" fontId="3" fillId="0" borderId="2" xfId="0" applyNumberFormat="1" applyFont="1" applyBorder="1" applyAlignment="1" applyProtection="1">
      <alignment horizontal="center" vertical="center" wrapText="1"/>
      <protection locked="0"/>
    </xf>
    <xf numFmtId="13" fontId="3" fillId="0" borderId="6" xfId="0" applyNumberFormat="1" applyFont="1" applyBorder="1" applyAlignment="1" applyProtection="1">
      <alignment horizontal="center" vertical="center" wrapText="1"/>
      <protection locked="0"/>
    </xf>
    <xf numFmtId="0" fontId="43" fillId="32" borderId="4" xfId="3" applyFont="1" applyFill="1" applyBorder="1" applyAlignment="1">
      <alignment wrapText="1"/>
    </xf>
    <xf numFmtId="0" fontId="2" fillId="0" borderId="17" xfId="0" applyFont="1" applyBorder="1" applyAlignment="1">
      <alignment horizontal="center" wrapText="1"/>
    </xf>
    <xf numFmtId="0" fontId="17" fillId="2" borderId="17" xfId="0" applyFont="1" applyFill="1" applyBorder="1" applyAlignment="1">
      <alignment horizontal="center" wrapText="1"/>
    </xf>
    <xf numFmtId="0" fontId="3" fillId="0" borderId="17" xfId="0" applyFont="1" applyBorder="1" applyAlignment="1" applyProtection="1">
      <alignment vertical="center" wrapText="1"/>
      <protection locked="0"/>
    </xf>
    <xf numFmtId="0" fontId="2" fillId="0" borderId="42" xfId="0" applyFont="1" applyBorder="1" applyAlignment="1">
      <alignment horizontal="center" wrapText="1"/>
    </xf>
    <xf numFmtId="170" fontId="3" fillId="0" borderId="0" xfId="1" applyNumberFormat="1" applyFont="1" applyAlignment="1">
      <alignment vertical="center" wrapText="1"/>
    </xf>
    <xf numFmtId="0" fontId="3" fillId="0" borderId="38" xfId="0" applyFont="1" applyBorder="1" applyAlignment="1" applyProtection="1">
      <alignment vertical="center" wrapText="1"/>
      <protection locked="0"/>
    </xf>
    <xf numFmtId="0" fontId="3" fillId="0" borderId="39" xfId="0" applyFont="1" applyBorder="1" applyAlignment="1" applyProtection="1">
      <alignment vertical="center" wrapText="1"/>
      <protection locked="0"/>
    </xf>
    <xf numFmtId="37" fontId="3" fillId="31" borderId="2" xfId="1" applyNumberFormat="1" applyFont="1" applyFill="1" applyBorder="1" applyAlignment="1">
      <alignment vertical="center" wrapText="1"/>
    </xf>
    <xf numFmtId="167" fontId="3" fillId="31" borderId="43" xfId="0" applyNumberFormat="1" applyFont="1" applyFill="1" applyBorder="1" applyAlignment="1">
      <alignment vertical="center" wrapText="1"/>
    </xf>
    <xf numFmtId="167" fontId="3" fillId="0" borderId="13" xfId="0" applyNumberFormat="1" applyFont="1" applyBorder="1" applyAlignment="1" applyProtection="1">
      <alignment vertical="center" wrapText="1"/>
      <protection locked="0"/>
    </xf>
    <xf numFmtId="167" fontId="3" fillId="0" borderId="2" xfId="0" applyNumberFormat="1" applyFont="1" applyBorder="1" applyAlignment="1" applyProtection="1">
      <alignment vertical="center" wrapText="1"/>
      <protection locked="0"/>
    </xf>
    <xf numFmtId="167" fontId="3" fillId="0" borderId="17" xfId="0" applyNumberFormat="1" applyFont="1" applyBorder="1" applyAlignment="1" applyProtection="1">
      <alignment vertical="center" wrapText="1"/>
      <protection locked="0"/>
    </xf>
    <xf numFmtId="39" fontId="3" fillId="31" borderId="44" xfId="1" applyNumberFormat="1" applyFont="1" applyFill="1" applyBorder="1" applyAlignment="1">
      <alignment vertical="center" wrapText="1"/>
    </xf>
    <xf numFmtId="167" fontId="3" fillId="31" borderId="45" xfId="0" applyNumberFormat="1" applyFont="1" applyFill="1" applyBorder="1" applyAlignment="1">
      <alignment vertical="center" wrapText="1"/>
    </xf>
    <xf numFmtId="39" fontId="3" fillId="31" borderId="42" xfId="1" applyNumberFormat="1" applyFont="1" applyFill="1" applyBorder="1" applyAlignment="1">
      <alignment vertical="center" wrapText="1"/>
    </xf>
    <xf numFmtId="37" fontId="3" fillId="31" borderId="17" xfId="1" applyNumberFormat="1" applyFont="1" applyFill="1" applyBorder="1" applyAlignment="1">
      <alignment vertical="center" wrapText="1"/>
    </xf>
    <xf numFmtId="0" fontId="46" fillId="0" borderId="0" xfId="0" applyFont="1"/>
    <xf numFmtId="0" fontId="46" fillId="0" borderId="10" xfId="0" applyFont="1" applyBorder="1" applyAlignment="1">
      <alignment horizontal="right"/>
    </xf>
    <xf numFmtId="0" fontId="45" fillId="0" borderId="10" xfId="3" applyFont="1" applyBorder="1" applyAlignment="1">
      <alignment horizontal="right"/>
    </xf>
    <xf numFmtId="0" fontId="46" fillId="0" borderId="11" xfId="0" applyFont="1" applyBorder="1" applyAlignment="1">
      <alignment horizontal="right"/>
    </xf>
    <xf numFmtId="0" fontId="41" fillId="0" borderId="0" xfId="0" applyFont="1"/>
    <xf numFmtId="0" fontId="41" fillId="0" borderId="0" xfId="0" applyFont="1" applyAlignment="1">
      <alignment horizontal="right"/>
    </xf>
    <xf numFmtId="0" fontId="41" fillId="0" borderId="0" xfId="0" applyFont="1" applyAlignment="1">
      <alignment wrapText="1"/>
    </xf>
    <xf numFmtId="165" fontId="41" fillId="0" borderId="0" xfId="0" applyNumberFormat="1" applyFont="1"/>
    <xf numFmtId="2" fontId="41" fillId="0" borderId="0" xfId="0" applyNumberFormat="1" applyFont="1"/>
    <xf numFmtId="3" fontId="41" fillId="0" borderId="0" xfId="0" applyNumberFormat="1" applyFont="1"/>
    <xf numFmtId="170" fontId="38" fillId="0" borderId="2" xfId="0" applyNumberFormat="1" applyFont="1" applyBorder="1" applyAlignment="1">
      <alignment vertical="center" wrapText="1"/>
    </xf>
    <xf numFmtId="170" fontId="41" fillId="0" borderId="0" xfId="0" applyNumberFormat="1" applyFont="1"/>
    <xf numFmtId="170" fontId="5" fillId="0" borderId="0" xfId="1" applyNumberFormat="1" applyFont="1" applyAlignment="1">
      <alignment vertical="center" wrapText="1"/>
    </xf>
    <xf numFmtId="0" fontId="2" fillId="0" borderId="0" xfId="3" applyFont="1" applyAlignment="1">
      <alignment horizontal="right"/>
    </xf>
    <xf numFmtId="0" fontId="5" fillId="0" borderId="0" xfId="0" applyFont="1"/>
    <xf numFmtId="0" fontId="5" fillId="0" borderId="0" xfId="0" applyFont="1" applyAlignment="1">
      <alignment horizontal="right"/>
    </xf>
    <xf numFmtId="0" fontId="48" fillId="0" borderId="28" xfId="0" applyFont="1" applyBorder="1"/>
    <xf numFmtId="0" fontId="47" fillId="0" borderId="0" xfId="3" applyFont="1"/>
    <xf numFmtId="0" fontId="3" fillId="31" borderId="16" xfId="0" applyFont="1" applyFill="1" applyBorder="1" applyAlignment="1">
      <alignment horizontal="center" vertical="center" wrapText="1"/>
    </xf>
    <xf numFmtId="0" fontId="5" fillId="0" borderId="40" xfId="0" applyFont="1" applyBorder="1" applyAlignment="1">
      <alignment horizontal="center" wrapText="1"/>
    </xf>
    <xf numFmtId="0" fontId="5" fillId="0" borderId="0" xfId="0" applyFont="1" applyAlignment="1">
      <alignment horizontal="center" wrapText="1"/>
    </xf>
    <xf numFmtId="0" fontId="2" fillId="0" borderId="39" xfId="0" applyFont="1" applyBorder="1" applyAlignment="1">
      <alignment horizontal="center" wrapText="1"/>
    </xf>
    <xf numFmtId="0" fontId="5" fillId="0" borderId="6" xfId="0" applyFont="1" applyBorder="1" applyAlignment="1">
      <alignment horizontal="center" wrapText="1"/>
    </xf>
    <xf numFmtId="0" fontId="31" fillId="31" borderId="38" xfId="0" applyFont="1" applyFill="1" applyBorder="1" applyAlignment="1">
      <alignment vertical="center" wrapText="1"/>
    </xf>
    <xf numFmtId="14" fontId="3" fillId="0" borderId="2"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167" fontId="3" fillId="0" borderId="13" xfId="0" applyNumberFormat="1" applyFont="1" applyBorder="1" applyAlignment="1" applyProtection="1">
      <alignment horizontal="right" vertical="center" wrapText="1"/>
      <protection locked="0"/>
    </xf>
    <xf numFmtId="167" fontId="3" fillId="0" borderId="2" xfId="0" applyNumberFormat="1" applyFont="1" applyBorder="1" applyAlignment="1" applyProtection="1">
      <alignment horizontal="right" vertical="center" wrapText="1"/>
      <protection locked="0"/>
    </xf>
    <xf numFmtId="0" fontId="3" fillId="0" borderId="17" xfId="0" applyFont="1" applyBorder="1" applyAlignment="1" applyProtection="1">
      <alignment horizontal="center" vertical="center" wrapText="1"/>
      <protection locked="0"/>
    </xf>
    <xf numFmtId="167" fontId="3" fillId="0" borderId="17" xfId="0" applyNumberFormat="1" applyFont="1" applyBorder="1" applyAlignment="1" applyProtection="1">
      <alignment horizontal="right" vertical="center" wrapText="1"/>
      <protection locked="0"/>
    </xf>
    <xf numFmtId="0" fontId="49" fillId="0" borderId="0" xfId="0" applyFont="1"/>
    <xf numFmtId="0" fontId="46" fillId="0" borderId="10" xfId="0" applyFont="1" applyBorder="1"/>
    <xf numFmtId="0" fontId="46" fillId="0" borderId="41" xfId="0" applyFont="1" applyBorder="1"/>
    <xf numFmtId="0" fontId="3" fillId="0" borderId="41" xfId="0" applyFont="1" applyBorder="1"/>
    <xf numFmtId="0" fontId="5" fillId="0" borderId="37" xfId="0" applyFont="1" applyBorder="1" applyAlignment="1">
      <alignment horizontal="center" wrapText="1"/>
    </xf>
    <xf numFmtId="0" fontId="5" fillId="0" borderId="39" xfId="0" applyFont="1" applyBorder="1" applyAlignment="1">
      <alignment horizontal="center" wrapText="1"/>
    </xf>
    <xf numFmtId="0" fontId="3" fillId="31" borderId="6" xfId="1" applyNumberFormat="1" applyFont="1" applyFill="1" applyBorder="1" applyAlignment="1">
      <alignment vertical="center" wrapText="1"/>
    </xf>
    <xf numFmtId="0" fontId="19" fillId="2" borderId="7" xfId="0" applyFont="1" applyFill="1" applyBorder="1" applyAlignment="1">
      <alignment horizontal="center" vertical="center" wrapText="1"/>
    </xf>
    <xf numFmtId="0" fontId="19" fillId="2" borderId="6" xfId="0" applyFont="1" applyFill="1" applyBorder="1" applyAlignment="1">
      <alignment horizontal="right" vertical="center" wrapText="1"/>
    </xf>
    <xf numFmtId="167" fontId="5" fillId="0" borderId="0" xfId="0" applyNumberFormat="1" applyFont="1"/>
    <xf numFmtId="39" fontId="5" fillId="0" borderId="0" xfId="0" applyNumberFormat="1" applyFont="1"/>
    <xf numFmtId="37" fontId="5" fillId="0" borderId="0" xfId="0" applyNumberFormat="1" applyFont="1"/>
    <xf numFmtId="3" fontId="3" fillId="0" borderId="6" xfId="0" applyNumberFormat="1" applyFont="1" applyBorder="1" applyAlignment="1" applyProtection="1">
      <alignment horizontal="center" vertical="center" wrapText="1"/>
      <protection locked="0"/>
    </xf>
    <xf numFmtId="3" fontId="3" fillId="0" borderId="2" xfId="0" applyNumberFormat="1" applyFont="1" applyBorder="1" applyAlignment="1" applyProtection="1">
      <alignment horizontal="center" vertical="center" wrapText="1"/>
      <protection locked="0"/>
    </xf>
    <xf numFmtId="13" fontId="3" fillId="0" borderId="2" xfId="0" applyNumberFormat="1" applyFont="1" applyBorder="1" applyAlignment="1" applyProtection="1">
      <alignment horizontal="center"/>
      <protection locked="0"/>
    </xf>
    <xf numFmtId="3" fontId="3" fillId="0" borderId="17" xfId="0" applyNumberFormat="1" applyFont="1" applyBorder="1" applyAlignment="1" applyProtection="1">
      <alignment horizontal="center" vertical="center" wrapText="1"/>
      <protection locked="0"/>
    </xf>
    <xf numFmtId="13" fontId="3" fillId="0" borderId="17" xfId="0" applyNumberFormat="1" applyFont="1" applyBorder="1" applyAlignment="1" applyProtection="1">
      <alignment horizontal="center"/>
      <protection locked="0"/>
    </xf>
    <xf numFmtId="0" fontId="28" fillId="31" borderId="2" xfId="3" applyFont="1" applyFill="1" applyBorder="1" applyAlignment="1" applyProtection="1">
      <alignment horizontal="center" vertical="center"/>
      <protection locked="0"/>
    </xf>
    <xf numFmtId="0" fontId="46" fillId="0" borderId="10" xfId="0" applyFont="1" applyBorder="1" applyAlignment="1">
      <alignment horizontal="right" vertical="top"/>
    </xf>
    <xf numFmtId="166" fontId="3" fillId="0" borderId="0" xfId="0" applyNumberFormat="1" applyFont="1" applyAlignment="1" applyProtection="1">
      <alignment horizontal="center" vertical="center"/>
      <protection locked="0"/>
    </xf>
    <xf numFmtId="0" fontId="6" fillId="0" borderId="9" xfId="3" applyBorder="1"/>
    <xf numFmtId="0" fontId="6" fillId="0" borderId="0" xfId="3" applyAlignment="1">
      <alignment vertical="top"/>
    </xf>
    <xf numFmtId="167" fontId="3" fillId="31" borderId="15" xfId="0" applyNumberFormat="1" applyFont="1" applyFill="1" applyBorder="1" applyAlignment="1">
      <alignment vertical="center" wrapText="1"/>
    </xf>
    <xf numFmtId="0" fontId="40" fillId="0" borderId="0" xfId="0" applyFont="1"/>
    <xf numFmtId="0" fontId="50" fillId="0" borderId="0" xfId="0" applyFont="1"/>
    <xf numFmtId="0" fontId="28" fillId="0" borderId="0" xfId="3" applyFont="1" applyAlignment="1">
      <alignment horizontal="left"/>
    </xf>
    <xf numFmtId="0" fontId="8" fillId="0" borderId="0" xfId="0" applyFont="1" applyAlignment="1">
      <alignment horizontal="right"/>
    </xf>
    <xf numFmtId="3" fontId="28" fillId="0" borderId="9" xfId="3" applyNumberFormat="1" applyFont="1" applyBorder="1" applyAlignment="1">
      <alignment horizontal="left"/>
    </xf>
    <xf numFmtId="3" fontId="28" fillId="0" borderId="0" xfId="3" applyNumberFormat="1" applyFont="1" applyAlignment="1">
      <alignment horizontal="left"/>
    </xf>
    <xf numFmtId="0" fontId="28" fillId="0" borderId="0" xfId="3" applyFont="1" applyAlignment="1">
      <alignment horizontal="right"/>
    </xf>
    <xf numFmtId="0" fontId="3" fillId="0" borderId="10" xfId="0" applyFont="1" applyBorder="1"/>
    <xf numFmtId="0" fontId="3" fillId="0" borderId="11" xfId="0" applyFont="1" applyBorder="1"/>
    <xf numFmtId="0" fontId="52" fillId="0" borderId="0" xfId="0" applyFont="1"/>
    <xf numFmtId="0" fontId="51" fillId="0" borderId="0" xfId="0" quotePrefix="1" applyFont="1"/>
    <xf numFmtId="0" fontId="0" fillId="2" borderId="0" xfId="0" applyFill="1" applyAlignment="1">
      <alignment horizontal="right"/>
    </xf>
    <xf numFmtId="0" fontId="54" fillId="0" borderId="28" xfId="0" applyFont="1" applyBorder="1"/>
    <xf numFmtId="0" fontId="8" fillId="0" borderId="41" xfId="0" applyFont="1" applyBorder="1"/>
    <xf numFmtId="0" fontId="18" fillId="0" borderId="41" xfId="0" applyFont="1" applyBorder="1" applyAlignment="1">
      <alignment vertical="top" wrapText="1"/>
    </xf>
    <xf numFmtId="0" fontId="18" fillId="0" borderId="41" xfId="0" applyFont="1" applyBorder="1" applyAlignment="1">
      <alignment wrapText="1"/>
    </xf>
    <xf numFmtId="2" fontId="12" fillId="0" borderId="28" xfId="0" applyNumberFormat="1" applyFont="1" applyBorder="1" applyAlignment="1">
      <alignment horizontal="left" vertical="center"/>
    </xf>
    <xf numFmtId="1" fontId="13" fillId="0" borderId="29" xfId="0" applyNumberFormat="1" applyFont="1" applyBorder="1" applyAlignment="1">
      <alignment vertical="center"/>
    </xf>
    <xf numFmtId="2" fontId="13" fillId="0" borderId="41" xfId="0" applyNumberFormat="1" applyFont="1" applyBorder="1" applyAlignment="1">
      <alignment vertical="center"/>
    </xf>
    <xf numFmtId="2" fontId="13" fillId="0" borderId="28" xfId="0" applyNumberFormat="1" applyFont="1" applyBorder="1" applyAlignment="1">
      <alignment vertical="center"/>
    </xf>
    <xf numFmtId="2" fontId="12" fillId="0" borderId="41" xfId="0" applyNumberFormat="1" applyFont="1" applyBorder="1" applyAlignment="1">
      <alignment vertical="center"/>
    </xf>
    <xf numFmtId="0" fontId="14" fillId="0" borderId="46" xfId="4" applyBorder="1" applyAlignment="1">
      <alignment horizontal="center" wrapText="1"/>
    </xf>
    <xf numFmtId="0" fontId="14" fillId="0" borderId="47" xfId="4" applyBorder="1" applyAlignment="1">
      <alignment horizontal="center" wrapText="1"/>
    </xf>
    <xf numFmtId="0" fontId="9" fillId="0" borderId="23"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31" fillId="31" borderId="39" xfId="0" applyFont="1" applyFill="1" applyBorder="1" applyAlignment="1">
      <alignment vertical="center" wrapText="1"/>
    </xf>
    <xf numFmtId="0" fontId="35" fillId="0" borderId="0" xfId="6" applyFont="1" applyAlignment="1"/>
    <xf numFmtId="0" fontId="9" fillId="0" borderId="48" xfId="0" applyFont="1" applyBorder="1" applyAlignment="1" applyProtection="1">
      <alignment horizontal="left" vertical="center" wrapText="1"/>
      <protection locked="0"/>
    </xf>
    <xf numFmtId="39" fontId="3" fillId="31" borderId="49" xfId="1" applyNumberFormat="1" applyFont="1" applyFill="1" applyBorder="1" applyAlignment="1">
      <alignment vertical="center" wrapText="1"/>
    </xf>
    <xf numFmtId="37" fontId="3" fillId="31" borderId="50" xfId="1" applyNumberFormat="1" applyFont="1" applyFill="1" applyBorder="1" applyAlignment="1">
      <alignment vertical="center" wrapText="1"/>
    </xf>
    <xf numFmtId="167" fontId="3" fillId="31" borderId="50" xfId="1" applyNumberFormat="1" applyFont="1" applyFill="1" applyBorder="1" applyAlignment="1">
      <alignment vertical="center" wrapText="1"/>
    </xf>
    <xf numFmtId="0" fontId="3" fillId="31" borderId="48" xfId="0" applyFont="1" applyFill="1" applyBorder="1" applyAlignment="1">
      <alignment horizontal="center" vertical="center" wrapText="1"/>
    </xf>
    <xf numFmtId="167" fontId="3" fillId="31" borderId="51" xfId="0" applyNumberFormat="1" applyFont="1" applyFill="1" applyBorder="1" applyAlignment="1">
      <alignment vertical="center" wrapText="1"/>
    </xf>
    <xf numFmtId="167" fontId="3" fillId="31" borderId="52" xfId="0" applyNumberFormat="1" applyFont="1" applyFill="1" applyBorder="1" applyAlignment="1">
      <alignment vertical="center" wrapText="1"/>
    </xf>
    <xf numFmtId="9" fontId="19" fillId="2" borderId="17" xfId="5"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7" xfId="0" applyFont="1" applyFill="1" applyBorder="1" applyAlignment="1">
      <alignment horizontal="right" vertical="center" wrapText="1"/>
    </xf>
    <xf numFmtId="0" fontId="19" fillId="2" borderId="18" xfId="0" applyFont="1" applyFill="1" applyBorder="1" applyAlignment="1">
      <alignment horizontal="right" vertical="center" wrapText="1"/>
    </xf>
    <xf numFmtId="0" fontId="3" fillId="31" borderId="17" xfId="1" applyNumberFormat="1" applyFont="1" applyFill="1" applyBorder="1" applyAlignment="1">
      <alignment vertical="center" wrapText="1"/>
    </xf>
    <xf numFmtId="0" fontId="0" fillId="0" borderId="0" xfId="0" applyFill="1"/>
    <xf numFmtId="0" fontId="0" fillId="0" borderId="0" xfId="0" applyFill="1" applyAlignment="1">
      <alignment horizontal="right"/>
    </xf>
    <xf numFmtId="167" fontId="3" fillId="31" borderId="53" xfId="0" applyNumberFormat="1" applyFont="1" applyFill="1" applyBorder="1" applyAlignment="1">
      <alignment vertical="center" wrapText="1"/>
    </xf>
    <xf numFmtId="167" fontId="3" fillId="31" borderId="28" xfId="0" applyNumberFormat="1" applyFont="1" applyFill="1" applyBorder="1" applyAlignment="1">
      <alignment vertical="center" wrapText="1"/>
    </xf>
    <xf numFmtId="167" fontId="3" fillId="31" borderId="29" xfId="0" applyNumberFormat="1" applyFont="1" applyFill="1" applyBorder="1" applyAlignment="1">
      <alignment vertic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29" fillId="0" borderId="0" xfId="0" applyFont="1" applyAlignment="1">
      <alignment horizontal="right"/>
    </xf>
    <xf numFmtId="0" fontId="30" fillId="0" borderId="0" xfId="0" applyFont="1" applyAlignment="1">
      <alignment horizontal="right"/>
    </xf>
    <xf numFmtId="0" fontId="47" fillId="0" borderId="0" xfId="3" applyFont="1" applyAlignment="1">
      <alignment horizontal="center"/>
    </xf>
    <xf numFmtId="0" fontId="2" fillId="30" borderId="3" xfId="3" applyFont="1" applyFill="1" applyBorder="1" applyAlignment="1">
      <alignment horizontal="center" wrapText="1"/>
    </xf>
    <xf numFmtId="0" fontId="2" fillId="30" borderId="4" xfId="3" applyFont="1" applyFill="1" applyBorder="1" applyAlignment="1">
      <alignment horizontal="center" wrapText="1"/>
    </xf>
    <xf numFmtId="0" fontId="2" fillId="30" borderId="5" xfId="3" applyFont="1" applyFill="1" applyBorder="1" applyAlignment="1">
      <alignment horizontal="center" wrapText="1"/>
    </xf>
    <xf numFmtId="0" fontId="6" fillId="0" borderId="2" xfId="3" applyBorder="1" applyAlignment="1" applyProtection="1">
      <alignment horizontal="left" vertical="center"/>
      <protection locked="0"/>
    </xf>
    <xf numFmtId="0" fontId="8" fillId="0" borderId="10" xfId="0" applyFont="1" applyBorder="1" applyAlignment="1">
      <alignment horizontal="left" wrapText="1"/>
    </xf>
    <xf numFmtId="0" fontId="8" fillId="0" borderId="0" xfId="0" applyFont="1" applyAlignment="1">
      <alignment horizontal="left" wrapText="1"/>
    </xf>
    <xf numFmtId="0" fontId="5" fillId="0" borderId="17" xfId="0" applyFont="1" applyBorder="1" applyAlignment="1">
      <alignment horizontal="center" wrapText="1"/>
    </xf>
    <xf numFmtId="0" fontId="2" fillId="30" borderId="3" xfId="3" applyFont="1" applyFill="1" applyBorder="1" applyAlignment="1">
      <alignment horizontal="center"/>
    </xf>
    <xf numFmtId="0" fontId="2" fillId="30" borderId="4" xfId="3" applyFont="1" applyFill="1" applyBorder="1" applyAlignment="1">
      <alignment horizontal="center"/>
    </xf>
    <xf numFmtId="0" fontId="2" fillId="30" borderId="5" xfId="3" applyFont="1" applyFill="1" applyBorder="1" applyAlignment="1">
      <alignment horizontal="center"/>
    </xf>
    <xf numFmtId="171" fontId="38" fillId="0" borderId="0" xfId="0" applyNumberFormat="1" applyFont="1" applyAlignment="1">
      <alignment horizontal="left" vertical="center"/>
    </xf>
    <xf numFmtId="0" fontId="38" fillId="0" borderId="0" xfId="0" applyFont="1" applyAlignment="1">
      <alignment horizontal="left" vertical="center"/>
    </xf>
    <xf numFmtId="166" fontId="38" fillId="0" borderId="0" xfId="0" applyNumberFormat="1" applyFont="1" applyAlignment="1">
      <alignment horizontal="left" vertical="center"/>
    </xf>
    <xf numFmtId="0" fontId="36" fillId="0" borderId="0" xfId="0" applyFont="1" applyAlignment="1">
      <alignment horizontal="left" vertical="top" wrapText="1"/>
    </xf>
    <xf numFmtId="0" fontId="36" fillId="0" borderId="0" xfId="0" applyFont="1" applyAlignment="1">
      <alignment horizontal="left" vertical="top"/>
    </xf>
    <xf numFmtId="0" fontId="42" fillId="0" borderId="0" xfId="0" applyFont="1" applyAlignment="1">
      <alignment horizontal="left"/>
    </xf>
    <xf numFmtId="0" fontId="44" fillId="0" borderId="0" xfId="6" applyFont="1" applyAlignment="1">
      <alignment horizontal="center"/>
    </xf>
    <xf numFmtId="0" fontId="53" fillId="0" borderId="0" xfId="3" applyFont="1" applyAlignment="1">
      <alignment horizontal="center"/>
    </xf>
    <xf numFmtId="0" fontId="5" fillId="0" borderId="18" xfId="0" applyFont="1" applyBorder="1" applyAlignment="1">
      <alignment horizontal="center" wrapText="1"/>
    </xf>
    <xf numFmtId="0" fontId="43" fillId="33" borderId="3" xfId="3" applyFont="1" applyFill="1" applyBorder="1" applyAlignment="1">
      <alignment horizontal="center" wrapText="1"/>
    </xf>
    <xf numFmtId="0" fontId="43" fillId="33" borderId="4" xfId="3" applyFont="1" applyFill="1" applyBorder="1" applyAlignment="1">
      <alignment horizontal="center" wrapText="1"/>
    </xf>
    <xf numFmtId="0" fontId="43" fillId="33" borderId="5" xfId="3" applyFont="1" applyFill="1" applyBorder="1" applyAlignment="1">
      <alignment horizontal="center" wrapText="1"/>
    </xf>
    <xf numFmtId="0" fontId="45" fillId="0" borderId="0" xfId="3" applyFont="1" applyAlignment="1">
      <alignment horizontal="left" wrapText="1"/>
    </xf>
    <xf numFmtId="0" fontId="45" fillId="0" borderId="9" xfId="3" applyFont="1" applyBorder="1" applyAlignment="1">
      <alignment horizontal="left" wrapText="1"/>
    </xf>
    <xf numFmtId="0" fontId="28" fillId="31" borderId="2" xfId="3" applyFont="1" applyFill="1" applyBorder="1" applyAlignment="1" applyProtection="1">
      <alignment horizontal="center" vertical="center"/>
    </xf>
  </cellXfs>
  <cellStyles count="7">
    <cellStyle name="Comma" xfId="1" builtinId="3"/>
    <cellStyle name="Hyperlink" xfId="6" builtinId="8"/>
    <cellStyle name="Normal" xfId="0" builtinId="0"/>
    <cellStyle name="Normal 2 2 13" xfId="3" xr:uid="{00000000-0005-0000-0000-000003000000}"/>
    <cellStyle name="Normal 30 2" xfId="2" xr:uid="{00000000-0005-0000-0000-000004000000}"/>
    <cellStyle name="Normal_Lighting Calc" xfId="4" xr:uid="{00000000-0005-0000-0000-000005000000}"/>
    <cellStyle name="Percent" xfId="5" builtinId="5"/>
  </cellStyles>
  <dxfs count="5">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4A62"/>
      <color rgb="FFF68E22"/>
      <color rgb="FF0067B1"/>
      <color rgb="FFFFFFCC"/>
      <color rgb="FFFF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focusonenergy.com/businesslighting" TargetMode="External"/><Relationship Id="rId2" Type="http://schemas.openxmlformats.org/officeDocument/2006/relationships/image" Target="../media/image1.jpg"/><Relationship Id="rId1" Type="http://schemas.openxmlformats.org/officeDocument/2006/relationships/hyperlink" Target="http://www.focusonenergy.com/smallbusiness"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focusonenergy.com/smallbusines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focusonenergy.com/businessrefrigeration" TargetMode="External"/><Relationship Id="rId2" Type="http://schemas.openxmlformats.org/officeDocument/2006/relationships/image" Target="../media/image1.jpg"/><Relationship Id="rId1" Type="http://schemas.openxmlformats.org/officeDocument/2006/relationships/hyperlink" Target="http://www.focusonenergy.com/smallbusiness" TargetMode="Externa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31749</xdr:colOff>
      <xdr:row>0</xdr:row>
      <xdr:rowOff>21167</xdr:rowOff>
    </xdr:from>
    <xdr:to>
      <xdr:col>3</xdr:col>
      <xdr:colOff>624415</xdr:colOff>
      <xdr:row>3</xdr:row>
      <xdr:rowOff>26388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49" y="21167"/>
          <a:ext cx="2264833" cy="619054"/>
        </a:xfrm>
        <a:prstGeom prst="rect">
          <a:avLst/>
        </a:prstGeom>
      </xdr:spPr>
    </xdr:pic>
    <xdr:clientData/>
  </xdr:twoCellAnchor>
  <xdr:twoCellAnchor editAs="oneCell">
    <xdr:from>
      <xdr:col>15</xdr:col>
      <xdr:colOff>163848</xdr:colOff>
      <xdr:row>2</xdr:row>
      <xdr:rowOff>84666</xdr:rowOff>
    </xdr:from>
    <xdr:to>
      <xdr:col>15</xdr:col>
      <xdr:colOff>1878736</xdr:colOff>
      <xdr:row>14</xdr:row>
      <xdr:rowOff>13612</xdr:rowOff>
    </xdr:to>
    <xdr:pic>
      <xdr:nvPicPr>
        <xdr:cNvPr id="4" name="Picture 3">
          <a:hlinkClick xmlns:r="http://schemas.openxmlformats.org/officeDocument/2006/relationships" r:id="rId3"/>
          <a:extLst>
            <a:ext uri="{FF2B5EF4-FFF2-40B4-BE49-F238E27FC236}">
              <a16:creationId xmlns:a16="http://schemas.microsoft.com/office/drawing/2014/main" id="{D412A2B6-9093-4675-9F72-12734E4A663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916668" y="465666"/>
          <a:ext cx="1714888" cy="22225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247218</xdr:colOff>
      <xdr:row>0</xdr:row>
      <xdr:rowOff>31750</xdr:rowOff>
    </xdr:from>
    <xdr:to>
      <xdr:col>19</xdr:col>
      <xdr:colOff>478008</xdr:colOff>
      <xdr:row>2</xdr:row>
      <xdr:rowOff>95250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96718" y="31750"/>
          <a:ext cx="2125207" cy="560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31749</xdr:colOff>
      <xdr:row>0</xdr:row>
      <xdr:rowOff>21167</xdr:rowOff>
    </xdr:from>
    <xdr:to>
      <xdr:col>3</xdr:col>
      <xdr:colOff>649815</xdr:colOff>
      <xdr:row>3</xdr:row>
      <xdr:rowOff>45438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49" y="21167"/>
          <a:ext cx="2269066" cy="614821"/>
        </a:xfrm>
        <a:prstGeom prst="rect">
          <a:avLst/>
        </a:prstGeom>
      </xdr:spPr>
    </xdr:pic>
    <xdr:clientData/>
  </xdr:twoCellAnchor>
  <xdr:twoCellAnchor editAs="oneCell">
    <xdr:from>
      <xdr:col>17</xdr:col>
      <xdr:colOff>66815</xdr:colOff>
      <xdr:row>3</xdr:row>
      <xdr:rowOff>84666</xdr:rowOff>
    </xdr:from>
    <xdr:to>
      <xdr:col>18</xdr:col>
      <xdr:colOff>917098</xdr:colOff>
      <xdr:row>15</xdr:row>
      <xdr:rowOff>0</xdr:rowOff>
    </xdr:to>
    <xdr:pic>
      <xdr:nvPicPr>
        <xdr:cNvPr id="4" name="Picture 3">
          <a:hlinkClick xmlns:r="http://schemas.openxmlformats.org/officeDocument/2006/relationships" r:id="rId3"/>
          <a:extLst>
            <a:ext uri="{FF2B5EF4-FFF2-40B4-BE49-F238E27FC236}">
              <a16:creationId xmlns:a16="http://schemas.microsoft.com/office/drawing/2014/main" id="{1CFC14BC-5ED8-44B4-AEAE-14E8006583B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6034948" y="694266"/>
          <a:ext cx="1722350" cy="2235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ocusonenergy.com/businesslighting" TargetMode="External"/><Relationship Id="rId1" Type="http://schemas.openxmlformats.org/officeDocument/2006/relationships/hyperlink" Target="http://www.focusonenergy.com/businesslight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focusonenergy.com/businessrefrigeration"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pageSetUpPr fitToPage="1"/>
  </sheetPr>
  <dimension ref="A1:BH601"/>
  <sheetViews>
    <sheetView tabSelected="1" zoomScaleNormal="100" workbookViewId="0">
      <selection activeCell="AQ1" sqref="AQ1"/>
    </sheetView>
  </sheetViews>
  <sheetFormatPr defaultColWidth="9.140625" defaultRowHeight="14.25" x14ac:dyDescent="0.2"/>
  <cols>
    <col min="1" max="1" width="1.7109375" style="1" customWidth="1"/>
    <col min="2" max="2" width="3.7109375" style="10" customWidth="1"/>
    <col min="3" max="3" width="19.7109375" style="1" customWidth="1"/>
    <col min="4" max="4" width="30.7109375" style="1" customWidth="1"/>
    <col min="5" max="5" width="30.7109375" style="11" customWidth="1"/>
    <col min="6" max="6" width="11.7109375" style="1" customWidth="1"/>
    <col min="7" max="7" width="8.7109375" style="1" customWidth="1"/>
    <col min="8" max="8" width="30.7109375" style="1" customWidth="1"/>
    <col min="9" max="9" width="9.7109375" style="1" customWidth="1"/>
    <col min="10" max="10" width="11.7109375" style="1" customWidth="1"/>
    <col min="11" max="11" width="33.140625" style="1" customWidth="1"/>
    <col min="12" max="13" width="30.7109375" style="1" customWidth="1"/>
    <col min="14" max="14" width="11.7109375" style="1" customWidth="1"/>
    <col min="15" max="15" width="8.7109375" style="1" customWidth="1"/>
    <col min="16" max="16" width="30.7109375" style="1" customWidth="1"/>
    <col min="17" max="17" width="10.7109375" style="1" customWidth="1"/>
    <col min="18" max="19" width="13.7109375" style="1" customWidth="1"/>
    <col min="20" max="20" width="9.7109375" style="1" customWidth="1"/>
    <col min="21" max="22" width="13.7109375" style="1" customWidth="1"/>
    <col min="23" max="23" width="64.7109375" style="1" customWidth="1"/>
    <col min="24" max="24" width="10.7109375" style="1" customWidth="1"/>
    <col min="25" max="25" width="15.7109375" style="1" customWidth="1"/>
    <col min="26" max="26" width="9.7109375" style="1" customWidth="1"/>
    <col min="27" max="27" width="18.7109375" style="1" customWidth="1"/>
    <col min="28" max="28" width="10.85546875" style="1" hidden="1" customWidth="1"/>
    <col min="29" max="29" width="9.7109375" style="1" customWidth="1"/>
    <col min="30" max="30" width="11" style="1" customWidth="1"/>
    <col min="31" max="31" width="10.7109375" style="1" customWidth="1"/>
    <col min="32" max="34" width="11.7109375" style="1" customWidth="1"/>
    <col min="35" max="35" width="12.140625" style="1" customWidth="1"/>
    <col min="36" max="36" width="15.7109375" style="1" customWidth="1"/>
    <col min="37" max="37" width="14.7109375" style="1" customWidth="1"/>
    <col min="38" max="38" width="14.7109375" style="1" hidden="1" customWidth="1"/>
    <col min="39" max="40" width="12.85546875" style="1" hidden="1" customWidth="1"/>
    <col min="41" max="41" width="14.7109375" style="1" customWidth="1"/>
    <col min="42" max="42" width="45.7109375" style="1" customWidth="1"/>
    <col min="43" max="43" width="51.28515625" style="1" customWidth="1"/>
    <col min="44" max="44" width="60.7109375" style="1" customWidth="1"/>
    <col min="45" max="45" width="9.140625" style="1" hidden="1" customWidth="1"/>
    <col min="46" max="46" width="52.28515625" style="1" customWidth="1"/>
    <col min="47" max="47" width="81" style="1" customWidth="1"/>
    <col min="48" max="48" width="81" style="1" hidden="1" customWidth="1"/>
    <col min="49" max="49" width="118.5703125" style="1" hidden="1" customWidth="1"/>
    <col min="50" max="55" width="81" style="1" hidden="1" customWidth="1"/>
    <col min="56" max="56" width="81" style="1" customWidth="1"/>
    <col min="57" max="16384" width="9.140625" style="1"/>
  </cols>
  <sheetData>
    <row r="1" spans="1:55" s="2" customFormat="1" ht="15" customHeight="1" x14ac:dyDescent="0.2">
      <c r="D1" s="360" t="s">
        <v>0</v>
      </c>
      <c r="E1" s="360"/>
      <c r="F1" s="360"/>
      <c r="G1" s="360"/>
      <c r="AB1" s="69" t="s">
        <v>1</v>
      </c>
      <c r="AL1" s="69" t="s">
        <v>1</v>
      </c>
      <c r="AM1" s="69" t="s">
        <v>1</v>
      </c>
      <c r="AN1" s="69" t="s">
        <v>1</v>
      </c>
      <c r="AS1" s="69" t="s">
        <v>2</v>
      </c>
      <c r="AV1" s="69" t="s">
        <v>2</v>
      </c>
      <c r="AW1" s="69" t="s">
        <v>2</v>
      </c>
      <c r="AX1" s="69" t="s">
        <v>2</v>
      </c>
      <c r="AY1" s="69" t="s">
        <v>2</v>
      </c>
      <c r="AZ1" s="69" t="s">
        <v>2</v>
      </c>
      <c r="BA1" s="69" t="s">
        <v>2</v>
      </c>
      <c r="BB1" s="69" t="s">
        <v>2</v>
      </c>
      <c r="BC1" s="69" t="s">
        <v>2</v>
      </c>
    </row>
    <row r="2" spans="1:55" s="2" customFormat="1" ht="15" customHeight="1" x14ac:dyDescent="0.25">
      <c r="D2" s="360"/>
      <c r="E2" s="360"/>
      <c r="F2" s="360"/>
      <c r="G2" s="360"/>
      <c r="P2" s="339" t="s">
        <v>3</v>
      </c>
      <c r="AD2" s="275" t="s">
        <v>4</v>
      </c>
      <c r="AE2" s="115"/>
      <c r="AF2" s="115"/>
      <c r="AG2" s="115"/>
      <c r="AH2" s="114"/>
      <c r="AI2" s="115"/>
      <c r="AJ2" s="123"/>
    </row>
    <row r="3" spans="1:55" s="2" customFormat="1" ht="18" x14ac:dyDescent="0.25">
      <c r="D3" s="359" t="s">
        <v>5</v>
      </c>
      <c r="E3" s="359"/>
      <c r="F3" s="359"/>
      <c r="G3" s="359"/>
      <c r="AD3" s="366" t="s">
        <v>6</v>
      </c>
      <c r="AE3" s="367"/>
      <c r="AF3" s="367"/>
      <c r="AG3" s="367"/>
      <c r="AH3" s="315" t="s">
        <v>7</v>
      </c>
      <c r="AI3" s="14"/>
      <c r="AJ3" s="118"/>
    </row>
    <row r="4" spans="1:55" s="68" customFormat="1" ht="15" customHeight="1" x14ac:dyDescent="0.25">
      <c r="A4" s="2"/>
      <c r="B4" s="2"/>
      <c r="C4" s="2"/>
      <c r="D4" s="2"/>
      <c r="E4" s="2"/>
      <c r="F4" s="2"/>
      <c r="G4" s="2"/>
      <c r="H4" s="2"/>
      <c r="I4" s="2"/>
      <c r="J4" s="2"/>
      <c r="K4" s="361" t="s">
        <v>8</v>
      </c>
      <c r="L4" s="361"/>
      <c r="M4" s="276"/>
      <c r="N4" s="2"/>
      <c r="O4" s="2"/>
      <c r="P4" s="2"/>
      <c r="Q4" s="2"/>
      <c r="AB4" s="2"/>
      <c r="AD4" s="366"/>
      <c r="AE4" s="367"/>
      <c r="AF4" s="367"/>
      <c r="AG4" s="367"/>
      <c r="AI4" s="316" t="s">
        <v>9</v>
      </c>
      <c r="AJ4" s="317">
        <v>4380</v>
      </c>
      <c r="AP4" s="2"/>
    </row>
    <row r="5" spans="1:55" s="68" customFormat="1" ht="15" customHeight="1" x14ac:dyDescent="0.2">
      <c r="A5" s="2"/>
      <c r="B5" s="275" t="s">
        <v>10</v>
      </c>
      <c r="C5" s="220"/>
      <c r="D5" s="115"/>
      <c r="E5" s="115"/>
      <c r="F5" s="115"/>
      <c r="G5" s="115"/>
      <c r="H5" s="115"/>
      <c r="I5" s="114"/>
      <c r="J5" s="116"/>
      <c r="K5" s="272" t="s">
        <v>11</v>
      </c>
      <c r="L5" s="365"/>
      <c r="M5" s="365"/>
      <c r="N5" s="2"/>
      <c r="O5" s="2"/>
      <c r="P5" s="2"/>
      <c r="Q5" s="2"/>
      <c r="R5" s="275" t="s">
        <v>12</v>
      </c>
      <c r="S5" s="115"/>
      <c r="T5" s="115"/>
      <c r="U5" s="115"/>
      <c r="V5" s="115"/>
      <c r="W5" s="115"/>
      <c r="X5" s="115"/>
      <c r="Y5" s="115"/>
      <c r="Z5" s="115"/>
      <c r="AA5" s="123"/>
      <c r="AB5" s="2"/>
      <c r="AD5" s="218"/>
      <c r="AE5" s="316" t="s">
        <v>13</v>
      </c>
      <c r="AF5" s="318">
        <v>3730</v>
      </c>
      <c r="AG5" s="213"/>
      <c r="AH5" s="213"/>
      <c r="AI5" s="316" t="s">
        <v>14</v>
      </c>
      <c r="AJ5" s="317">
        <v>8760</v>
      </c>
      <c r="AK5" s="2"/>
      <c r="AL5" s="2"/>
      <c r="AM5" s="2"/>
      <c r="AN5" s="2"/>
      <c r="AO5" s="2"/>
      <c r="AP5" s="2"/>
    </row>
    <row r="6" spans="1:55" s="68" customFormat="1" ht="13.15" customHeight="1" x14ac:dyDescent="0.2">
      <c r="A6" s="2"/>
      <c r="B6" s="214" t="s">
        <v>15</v>
      </c>
      <c r="C6" s="14" t="s">
        <v>16</v>
      </c>
      <c r="D6" s="311"/>
      <c r="E6" s="311"/>
      <c r="F6" s="311"/>
      <c r="G6" s="311"/>
      <c r="H6" s="311"/>
      <c r="I6" s="311"/>
      <c r="J6" s="310"/>
      <c r="K6" s="272" t="s">
        <v>17</v>
      </c>
      <c r="L6" s="365"/>
      <c r="M6" s="365"/>
      <c r="N6" s="2"/>
      <c r="O6" s="2"/>
      <c r="P6" s="2"/>
      <c r="Q6" s="2"/>
      <c r="R6" s="217" t="s">
        <v>18</v>
      </c>
      <c r="S6" s="2"/>
      <c r="T6" s="2"/>
      <c r="U6" s="2"/>
      <c r="V6" s="2"/>
      <c r="W6" s="2"/>
      <c r="X6" s="2"/>
      <c r="Y6" s="2"/>
      <c r="Z6" s="2"/>
      <c r="AA6" s="118"/>
      <c r="AB6" s="2"/>
      <c r="AD6" s="218"/>
      <c r="AE6" s="316" t="s">
        <v>19</v>
      </c>
      <c r="AF6" s="318">
        <v>4745</v>
      </c>
      <c r="AG6" s="213"/>
      <c r="AH6" s="14"/>
      <c r="AI6" s="316" t="s">
        <v>20</v>
      </c>
      <c r="AJ6" s="317">
        <f>24*5*52</f>
        <v>6240</v>
      </c>
      <c r="AK6" s="14"/>
      <c r="AL6" s="14"/>
      <c r="AM6" s="14"/>
      <c r="AN6" s="14"/>
      <c r="AO6" s="14"/>
      <c r="AP6" s="2"/>
    </row>
    <row r="7" spans="1:55" s="68" customFormat="1" ht="15" customHeight="1" x14ac:dyDescent="0.2">
      <c r="A7" s="2"/>
      <c r="B7" s="214"/>
      <c r="C7" s="14" t="s">
        <v>21</v>
      </c>
      <c r="D7" s="311"/>
      <c r="E7" s="311"/>
      <c r="F7" s="311"/>
      <c r="G7" s="311"/>
      <c r="H7" s="311"/>
      <c r="I7" s="311"/>
      <c r="J7" s="310"/>
      <c r="K7" s="272" t="s">
        <v>22</v>
      </c>
      <c r="L7" s="365"/>
      <c r="M7" s="365"/>
      <c r="N7" s="2"/>
      <c r="O7" s="2"/>
      <c r="P7" s="2"/>
      <c r="Q7" s="2"/>
      <c r="R7" s="217" t="s">
        <v>23</v>
      </c>
      <c r="S7" s="2"/>
      <c r="T7" s="2"/>
      <c r="U7" s="2"/>
      <c r="V7" s="2"/>
      <c r="W7" s="2"/>
      <c r="X7" s="2"/>
      <c r="Y7" s="2"/>
      <c r="AA7" s="118"/>
      <c r="AB7" s="2"/>
      <c r="AD7" s="218"/>
      <c r="AE7" s="316" t="s">
        <v>24</v>
      </c>
      <c r="AF7" s="318">
        <v>4698</v>
      </c>
      <c r="AG7" s="213"/>
      <c r="AH7" s="14"/>
      <c r="AI7" s="316" t="s">
        <v>25</v>
      </c>
      <c r="AJ7" s="317">
        <f>16*365</f>
        <v>5840</v>
      </c>
      <c r="AK7" s="14"/>
      <c r="AL7" s="14"/>
      <c r="AM7" s="14"/>
      <c r="AN7" s="14"/>
      <c r="AO7" s="14"/>
      <c r="AP7" s="2"/>
    </row>
    <row r="8" spans="1:55" s="68" customFormat="1" ht="15" customHeight="1" x14ac:dyDescent="0.2">
      <c r="A8" s="2"/>
      <c r="B8" s="214"/>
      <c r="C8" s="14" t="s">
        <v>26</v>
      </c>
      <c r="D8" s="311"/>
      <c r="E8" s="311"/>
      <c r="F8" s="311"/>
      <c r="G8" s="311"/>
      <c r="H8" s="311"/>
      <c r="I8" s="311"/>
      <c r="J8" s="310"/>
      <c r="M8" s="2"/>
      <c r="N8" s="2"/>
      <c r="O8" s="2"/>
      <c r="P8" s="2"/>
      <c r="Q8" s="2"/>
      <c r="R8" s="217" t="s">
        <v>27</v>
      </c>
      <c r="S8" s="2"/>
      <c r="T8" s="2"/>
      <c r="U8" s="2"/>
      <c r="V8" s="2"/>
      <c r="W8" s="2"/>
      <c r="X8" s="2"/>
      <c r="Y8" s="2"/>
      <c r="AA8" s="118"/>
      <c r="AB8" s="2"/>
      <c r="AD8" s="217"/>
      <c r="AE8" s="319" t="s">
        <v>28</v>
      </c>
      <c r="AF8" s="318">
        <v>3239</v>
      </c>
      <c r="AG8" s="14"/>
      <c r="AH8" s="14"/>
      <c r="AI8" s="316" t="s">
        <v>29</v>
      </c>
      <c r="AJ8" s="317">
        <f>16*5*52</f>
        <v>4160</v>
      </c>
      <c r="AK8" s="14"/>
      <c r="AL8" s="14"/>
      <c r="AM8" s="14"/>
      <c r="AN8" s="14"/>
      <c r="AO8" s="14"/>
      <c r="AP8" s="2"/>
    </row>
    <row r="9" spans="1:55" s="2" customFormat="1" ht="15" customHeight="1" x14ac:dyDescent="0.2">
      <c r="B9" s="215" t="s">
        <v>30</v>
      </c>
      <c r="C9" s="14" t="s">
        <v>31</v>
      </c>
      <c r="J9" s="310"/>
      <c r="K9" s="272" t="s">
        <v>32</v>
      </c>
      <c r="L9" s="365"/>
      <c r="M9" s="365"/>
      <c r="R9" s="217" t="s">
        <v>33</v>
      </c>
      <c r="Z9" s="1"/>
      <c r="AA9" s="118"/>
      <c r="AD9" s="217"/>
      <c r="AE9" s="14"/>
      <c r="AF9" s="14"/>
      <c r="AG9" s="14"/>
      <c r="AH9" s="14"/>
      <c r="AI9" s="316" t="s">
        <v>34</v>
      </c>
      <c r="AJ9" s="317">
        <f>12*365</f>
        <v>4380</v>
      </c>
      <c r="AK9" s="14"/>
      <c r="AL9" s="14"/>
      <c r="AM9" s="14"/>
      <c r="AN9" s="14"/>
      <c r="AO9" s="14"/>
    </row>
    <row r="10" spans="1:55" s="2" customFormat="1" ht="15" customHeight="1" x14ac:dyDescent="0.2">
      <c r="B10" s="214" t="s">
        <v>35</v>
      </c>
      <c r="C10" s="14" t="s">
        <v>36</v>
      </c>
      <c r="J10" s="117"/>
      <c r="K10" s="274" t="s">
        <v>37</v>
      </c>
      <c r="L10" s="365"/>
      <c r="M10" s="365"/>
      <c r="R10" s="218" t="s">
        <v>38</v>
      </c>
      <c r="Z10" s="68"/>
      <c r="AA10" s="118"/>
      <c r="AD10" s="217"/>
      <c r="AE10" s="14"/>
      <c r="AF10" s="14"/>
      <c r="AG10" s="14"/>
      <c r="AH10" s="14"/>
      <c r="AI10" s="316" t="s">
        <v>39</v>
      </c>
      <c r="AJ10" s="317">
        <f>12*5*52</f>
        <v>3120</v>
      </c>
      <c r="AK10" s="14"/>
      <c r="AL10" s="14"/>
      <c r="AM10" s="14"/>
      <c r="AN10" s="14"/>
      <c r="AO10" s="14"/>
    </row>
    <row r="11" spans="1:55" s="2" customFormat="1" ht="15" customHeight="1" x14ac:dyDescent="0.2">
      <c r="B11" s="214" t="s">
        <v>40</v>
      </c>
      <c r="C11" s="14" t="s">
        <v>41</v>
      </c>
      <c r="J11" s="118"/>
      <c r="K11" s="274"/>
      <c r="R11" s="218" t="s">
        <v>42</v>
      </c>
      <c r="AA11" s="118"/>
      <c r="AD11" s="217"/>
      <c r="AE11" s="14"/>
      <c r="AF11" s="14"/>
      <c r="AG11" s="14"/>
      <c r="AH11" s="14"/>
      <c r="AI11" s="316" t="s">
        <v>43</v>
      </c>
      <c r="AJ11" s="317">
        <f>10*365</f>
        <v>3650</v>
      </c>
      <c r="AK11" s="14"/>
      <c r="AL11" s="14"/>
      <c r="AM11" s="14"/>
      <c r="AN11" s="14"/>
      <c r="AO11" s="14"/>
    </row>
    <row r="12" spans="1:55" s="2" customFormat="1" ht="15" customHeight="1" x14ac:dyDescent="0.2">
      <c r="B12" s="214"/>
      <c r="C12" s="213" t="s">
        <v>44</v>
      </c>
      <c r="J12" s="118"/>
      <c r="K12" s="274" t="s">
        <v>45</v>
      </c>
      <c r="L12" s="283"/>
      <c r="R12" s="217" t="s">
        <v>46</v>
      </c>
      <c r="AA12" s="118"/>
      <c r="AD12" s="217"/>
      <c r="AE12" s="14"/>
      <c r="AF12" s="14"/>
      <c r="AG12" s="14"/>
      <c r="AH12" s="14"/>
      <c r="AI12" s="316" t="s">
        <v>47</v>
      </c>
      <c r="AJ12" s="317">
        <f>10*5*52</f>
        <v>2600</v>
      </c>
      <c r="AK12" s="14"/>
      <c r="AL12" s="14"/>
      <c r="AM12" s="14"/>
      <c r="AN12" s="14"/>
      <c r="AO12" s="14"/>
    </row>
    <row r="13" spans="1:55" s="2" customFormat="1" ht="15" customHeight="1" x14ac:dyDescent="0.2">
      <c r="B13" s="214" t="s">
        <v>48</v>
      </c>
      <c r="C13" s="14" t="s">
        <v>49</v>
      </c>
      <c r="J13" s="118"/>
      <c r="K13" s="124" t="s">
        <v>50</v>
      </c>
      <c r="L13" s="307" t="s">
        <v>51</v>
      </c>
      <c r="R13" s="217" t="s">
        <v>52</v>
      </c>
      <c r="AA13" s="118"/>
      <c r="AD13" s="217"/>
      <c r="AE13" s="14"/>
      <c r="AF13" s="14"/>
      <c r="AG13" s="14"/>
      <c r="AH13" s="14"/>
      <c r="AI13" s="316" t="s">
        <v>53</v>
      </c>
      <c r="AJ13" s="317">
        <f>8*365</f>
        <v>2920</v>
      </c>
      <c r="AK13" s="14"/>
      <c r="AL13" s="14"/>
      <c r="AM13" s="14"/>
      <c r="AN13" s="14"/>
      <c r="AO13" s="14"/>
    </row>
    <row r="14" spans="1:55" s="2" customFormat="1" ht="15" customHeight="1" x14ac:dyDescent="0.2">
      <c r="B14" s="214" t="s">
        <v>54</v>
      </c>
      <c r="C14" s="14" t="s">
        <v>55</v>
      </c>
      <c r="J14" s="118"/>
      <c r="K14" s="125" t="s">
        <v>56</v>
      </c>
      <c r="L14" s="284">
        <v>0.11</v>
      </c>
      <c r="R14" s="219"/>
      <c r="S14" s="293"/>
      <c r="T14" s="293"/>
      <c r="U14" s="293"/>
      <c r="V14" s="293"/>
      <c r="W14" s="293"/>
      <c r="X14" s="293"/>
      <c r="Y14" s="293"/>
      <c r="Z14" s="293"/>
      <c r="AA14" s="119"/>
      <c r="AD14" s="320"/>
      <c r="AI14" s="316" t="s">
        <v>57</v>
      </c>
      <c r="AJ14" s="317">
        <f>8*5*52</f>
        <v>2080</v>
      </c>
      <c r="AK14" s="14"/>
      <c r="AL14" s="314"/>
      <c r="AM14" s="14"/>
      <c r="AN14" s="14"/>
      <c r="AO14" s="14"/>
    </row>
    <row r="15" spans="1:55" s="2" customFormat="1" ht="15" customHeight="1" x14ac:dyDescent="0.2">
      <c r="B15" s="214"/>
      <c r="C15" s="14" t="s">
        <v>58</v>
      </c>
      <c r="J15" s="118"/>
      <c r="K15" s="125"/>
      <c r="L15" s="309"/>
      <c r="R15" s="14"/>
      <c r="AD15" s="321"/>
      <c r="AE15" s="293"/>
      <c r="AF15" s="293"/>
      <c r="AG15" s="293"/>
      <c r="AH15" s="293"/>
      <c r="AI15" s="293"/>
      <c r="AJ15" s="119"/>
      <c r="AK15" s="14"/>
      <c r="AL15" s="314"/>
      <c r="AM15" s="14"/>
      <c r="AN15" s="14"/>
      <c r="AO15" s="14"/>
    </row>
    <row r="16" spans="1:55" s="2" customFormat="1" ht="15" customHeight="1" x14ac:dyDescent="0.2">
      <c r="B16" s="216" t="s">
        <v>59</v>
      </c>
      <c r="C16" s="326" t="s">
        <v>60</v>
      </c>
      <c r="D16" s="293"/>
      <c r="E16" s="293"/>
      <c r="F16" s="327"/>
      <c r="G16" s="328"/>
      <c r="H16" s="327"/>
      <c r="I16" s="293"/>
      <c r="J16" s="119"/>
      <c r="K16" s="125"/>
      <c r="L16" s="309"/>
      <c r="R16" s="14"/>
      <c r="AK16" s="14"/>
      <c r="AL16" s="314"/>
      <c r="AM16" s="14"/>
      <c r="AN16" s="14"/>
      <c r="AO16" s="14"/>
    </row>
    <row r="17" spans="2:60" s="2" customFormat="1" ht="15" customHeight="1" thickBot="1" x14ac:dyDescent="0.25"/>
    <row r="18" spans="2:60" s="2" customFormat="1" ht="15.75" customHeight="1" x14ac:dyDescent="0.2">
      <c r="B18" s="362" t="s">
        <v>61</v>
      </c>
      <c r="C18" s="363"/>
      <c r="D18" s="363"/>
      <c r="E18" s="363"/>
      <c r="F18" s="363"/>
      <c r="G18" s="363"/>
      <c r="H18" s="363"/>
      <c r="I18" s="363"/>
      <c r="J18" s="364"/>
      <c r="K18" s="362" t="s">
        <v>62</v>
      </c>
      <c r="L18" s="363"/>
      <c r="M18" s="363"/>
      <c r="N18" s="363"/>
      <c r="O18" s="363"/>
      <c r="P18" s="363"/>
      <c r="Q18" s="364"/>
      <c r="R18" s="362" t="s">
        <v>63</v>
      </c>
      <c r="S18" s="363"/>
      <c r="T18" s="363"/>
      <c r="U18" s="363"/>
      <c r="V18" s="364"/>
      <c r="W18" s="362" t="s">
        <v>64</v>
      </c>
      <c r="X18" s="363"/>
      <c r="Y18" s="363"/>
      <c r="Z18" s="363"/>
      <c r="AA18" s="363"/>
      <c r="AB18" s="364"/>
      <c r="AC18" s="369" t="s">
        <v>65</v>
      </c>
      <c r="AD18" s="370"/>
      <c r="AE18" s="370"/>
      <c r="AF18" s="371"/>
      <c r="AG18" s="362" t="s">
        <v>66</v>
      </c>
      <c r="AH18" s="363"/>
      <c r="AI18" s="363"/>
      <c r="AJ18" s="363"/>
      <c r="AK18" s="363"/>
      <c r="AL18" s="363"/>
      <c r="AM18" s="363"/>
      <c r="AN18" s="363"/>
      <c r="AO18" s="364"/>
      <c r="AP18" s="189"/>
      <c r="AR18" s="278"/>
      <c r="AS18" s="279"/>
      <c r="AT18" s="279"/>
    </row>
    <row r="19" spans="2:60" s="9" customFormat="1" ht="39.75" customHeight="1" thickBot="1" x14ac:dyDescent="0.25">
      <c r="B19" s="199" t="s">
        <v>67</v>
      </c>
      <c r="C19" s="6" t="s">
        <v>68</v>
      </c>
      <c r="D19" s="357" t="s">
        <v>69</v>
      </c>
      <c r="E19" s="357" t="s">
        <v>70</v>
      </c>
      <c r="F19" s="357" t="s">
        <v>71</v>
      </c>
      <c r="G19" s="357" t="s">
        <v>72</v>
      </c>
      <c r="H19" s="357" t="s">
        <v>73</v>
      </c>
      <c r="I19" s="357" t="s">
        <v>74</v>
      </c>
      <c r="J19" s="7" t="s">
        <v>75</v>
      </c>
      <c r="K19" s="8" t="s">
        <v>76</v>
      </c>
      <c r="L19" s="357" t="s">
        <v>77</v>
      </c>
      <c r="M19" s="357" t="s">
        <v>78</v>
      </c>
      <c r="N19" s="357" t="s">
        <v>71</v>
      </c>
      <c r="O19" s="357" t="s">
        <v>72</v>
      </c>
      <c r="P19" s="357" t="s">
        <v>73</v>
      </c>
      <c r="Q19" s="121" t="s">
        <v>79</v>
      </c>
      <c r="R19" s="8" t="s">
        <v>80</v>
      </c>
      <c r="S19" s="357" t="s">
        <v>81</v>
      </c>
      <c r="T19" s="357" t="s">
        <v>82</v>
      </c>
      <c r="U19" s="357" t="s">
        <v>83</v>
      </c>
      <c r="V19" s="358" t="s">
        <v>84</v>
      </c>
      <c r="W19" s="104" t="s">
        <v>85</v>
      </c>
      <c r="X19" s="368" t="s">
        <v>86</v>
      </c>
      <c r="Y19" s="368"/>
      <c r="Z19" s="368" t="s">
        <v>87</v>
      </c>
      <c r="AA19" s="368"/>
      <c r="AB19" s="105" t="s">
        <v>88</v>
      </c>
      <c r="AC19" s="8" t="s">
        <v>89</v>
      </c>
      <c r="AD19" s="357" t="s">
        <v>90</v>
      </c>
      <c r="AE19" s="357" t="s">
        <v>91</v>
      </c>
      <c r="AF19" s="358" t="s">
        <v>92</v>
      </c>
      <c r="AG19" s="97" t="s">
        <v>93</v>
      </c>
      <c r="AH19" s="98" t="s">
        <v>94</v>
      </c>
      <c r="AI19" s="98" t="s">
        <v>95</v>
      </c>
      <c r="AJ19" s="103" t="s">
        <v>96</v>
      </c>
      <c r="AK19" s="98" t="s">
        <v>97</v>
      </c>
      <c r="AL19" s="126" t="s">
        <v>98</v>
      </c>
      <c r="AM19" s="109" t="s">
        <v>99</v>
      </c>
      <c r="AN19" s="129" t="s">
        <v>100</v>
      </c>
      <c r="AO19" s="102" t="s">
        <v>101</v>
      </c>
      <c r="AP19" s="280" t="s">
        <v>102</v>
      </c>
      <c r="AR19" s="281" t="s">
        <v>103</v>
      </c>
    </row>
    <row r="20" spans="2:60" s="100" customFormat="1" ht="12.75" x14ac:dyDescent="0.25">
      <c r="B20" s="196">
        <v>1</v>
      </c>
      <c r="C20" s="130"/>
      <c r="D20" s="101"/>
      <c r="E20" s="131"/>
      <c r="F20" s="146" t="str">
        <f t="shared" ref="F20:F51" si="0">IF(E20="","",VLOOKUP(E20,$AW$174:$AX$601,2,FALSE))</f>
        <v/>
      </c>
      <c r="G20" s="132"/>
      <c r="H20" s="130"/>
      <c r="I20" s="133"/>
      <c r="J20" s="134"/>
      <c r="K20" s="135"/>
      <c r="L20" s="131"/>
      <c r="M20" s="131" t="s">
        <v>104</v>
      </c>
      <c r="N20" s="149" t="str">
        <f t="shared" ref="N20:N51" si="1">IF(L20="","",VLOOKUP(L20,$AW$174:$AX$601,2,FALSE))</f>
        <v/>
      </c>
      <c r="O20" s="132"/>
      <c r="P20" s="130"/>
      <c r="Q20" s="190"/>
      <c r="R20" s="191"/>
      <c r="S20" s="151" t="str">
        <f t="shared" ref="S20:S23" si="2">IF(AND(Q20&gt;0,R20&gt;0),R20*Q20,IF(OR(Q20&lt;&gt;"",R20&lt;&gt;""),R20*Q20,""))</f>
        <v/>
      </c>
      <c r="T20" s="285"/>
      <c r="U20" s="286"/>
      <c r="V20" s="312" t="str">
        <f>IF(AND(T20&gt;0,U20&gt;0),U20*T20,IF(OR(T20&lt;&gt;"",U20&lt;&gt;""),U20*T20,IF(S20&lt;&gt;"",0,"")))</f>
        <v/>
      </c>
      <c r="W20" s="340"/>
      <c r="X20" s="345" t="str">
        <f>IF(W20="","",IF($L$13=$AV$95, VLOOKUP(W20,'Criteria-Business'!$C$3:$M$104,7,FALSE),VLOOKUP(W20,'Criteria-SBP'!$C$3:$L$113,7,FALSE)))</f>
        <v/>
      </c>
      <c r="Y20" s="354" t="str">
        <f>IF(W20="","","/ "&amp;IF($L$13=$AV$95, VLOOKUP(W20,'Criteria-Business'!$C$3:$M$104,8,FALSE),VLOOKUP(W20,'Criteria-SBP'!$C$3:$L$113,8,FALSE)))</f>
        <v/>
      </c>
      <c r="Z20" s="156" t="str">
        <f t="shared" ref="Z20:Z51" si="3">IF(M20="","",IF($L$13=$AV$95, VLOOKUP(M20,$AW$94:$BC$107,6,FALSE),VLOOKUP(M20,$AW$94:$BC$107,5,FALSE)))</f>
        <v xml:space="preserve"> </v>
      </c>
      <c r="AA20" s="155" t="str">
        <f t="shared" ref="AA20:AA51" si="4">IF(M20="","",VLOOKUP(M20,$AW$94:$BC$107,7,FALSE))</f>
        <v>None</v>
      </c>
      <c r="AB20" s="106">
        <f t="shared" ref="AB20:AB51" si="5">IFERROR(IF(M20="",0,VLOOKUP(M20,$AW$94:$BC$107,2,FALSE)),0)</f>
        <v>0</v>
      </c>
      <c r="AC20" s="163" t="str">
        <f t="shared" ref="AC20:AC51" si="6">IF(E20="","",IF(OR(G20&gt;0,F20="Enter Watts"),G20*I20/1000,F20*I20/1000))</f>
        <v/>
      </c>
      <c r="AD20" s="164" t="str">
        <f t="shared" ref="AD20:AD51" si="7">IF(E20="","",IF(OR(G20&gt;0,F20="Enter Watts"),G20*I20/1000*J20,F20*I20/1000*J20))</f>
        <v/>
      </c>
      <c r="AE20" s="165" t="str">
        <f t="shared" ref="AE20:AE51" si="8">IF(L20="","",IF(OR(O20&gt;0,N20="Enter Watts"),O20*Q20/1000,N20*Q20/1000))</f>
        <v/>
      </c>
      <c r="AF20" s="166" t="str">
        <f t="shared" ref="AF20:AF51" si="9">IF(L20="","",IF(OR(O20&gt;0,N20="Enter Watts"),O20*Q20/1000*J20*(1-AB20),N20*Q20/1000*J20*(1-AB20)))</f>
        <v/>
      </c>
      <c r="AG20" s="167" t="str">
        <f>IF(AND(AC20="",AE20=""),"",IF(OR(AC20="",AE20=""),0,AC20-AE20))</f>
        <v/>
      </c>
      <c r="AH20" s="168" t="str">
        <f>IF(AND(AD20="",AF20=""),"",IF(OR(AD20="",AF20=""),0,AD20-AF20))</f>
        <v/>
      </c>
      <c r="AI20" s="169" t="str">
        <f t="shared" ref="AI20:AI51" si="10">IF(AH20="","",$L$14*AH20)</f>
        <v/>
      </c>
      <c r="AJ20" s="170" t="str">
        <f>IF(AND(S20&lt;&gt;"",AI20&gt;0),(S20+V20)/AI20,"")</f>
        <v/>
      </c>
      <c r="AK20" s="171">
        <f>IF(OR(X20="", Q20=""),0,IF(LEFT(Y20,6)="/ Watt",MIN(AG20*1000*X20,S20*AM20),MIN(Q20*X20,S20*AM20))+IF(V20&lt;&gt;"",MIN(AL20,AN20*V20),0))</f>
        <v>0</v>
      </c>
      <c r="AL20" s="127">
        <f>IF(AA20=$AV$98, 0,IF(AA20=$AV$99, Q20*Z20,IF(AA20=$AV$100, IF(OR(O20&gt;0,N20="Enter Watts"),O20*Q20*Z20,N20*Q20*Z20),IF(AA20=$AV$101, T20*Z20,0))))</f>
        <v>0</v>
      </c>
      <c r="AM20" s="111" t="str">
        <f>IF(W20="","",IF($L$13=$AV$95, VLOOKUP(W20,'Criteria-Business'!$C$3:$M$104,11,FALSE),VLOOKUP(W20,'Criteria-SBP'!$C$3:$L$113,10,FALSE)))</f>
        <v/>
      </c>
      <c r="AN20" s="110">
        <f t="shared" ref="AN20:AN51" si="11">IFERROR(IF(M20="",0,VLOOKUP(M20,$AW$94:$BC$107,3,FALSE)),0)</f>
        <v>1</v>
      </c>
      <c r="AO20" s="187" t="str">
        <f>IF(AND(S20&lt;&gt;"",AI20&gt;0, AK20&lt;&gt;""),(S20+V20-AK20)/AI20,"")</f>
        <v/>
      </c>
      <c r="AP20" s="282" t="str">
        <f>IF(OR(AND(I20&lt;&gt;Q20,W20&lt;&gt;"",LEFT(L20,3)="LED",ISNUMBER(SEARCH("Lamp",L20))),AND(I20&lt;&gt;Q20,W20&lt;&gt;"",LEFT(K20,3)&lt;&gt;"LED"),AND(I20&lt;&gt;Q20,W20&lt;&gt;"",AS20=0)),"Prescriptive measures must be 1-for-1 replacements.",IF(AND($L$13=$AV$94,OR(LEFT(W20,1)&lt;&gt;"S",LEFT(M20,1)&lt;&gt;"S"),W20&lt;&gt;"",M20&lt;&gt;"",M20&lt;&gt;"None"),"Estimated Incentive Codes for Small Business should start with an 'S'.",IF(AND($L$13=$AV$95,LEFT(W20,1)="S",W20&lt;&gt;""),"Estimated Incentive Codes for Small Business should NOT start with an 'S'.",IF(AND(I20&lt;&gt;Q20,W20="",LEFT(K20,3)="LED",ISNUMBER(SEARCH("Lamp",L20))),"For non 1:1 replacements, contact Focus on Energy for possible custom incentives.",IF(AND(AS20=1,I20=Q20),"Fixture Quantity Modification cannot have same number of fixtures installed.","")))))</f>
        <v/>
      </c>
      <c r="AR20" s="99"/>
      <c r="AS20" s="100">
        <f>COUNTIF('Criteria-SBP'!S$3:S$4,W20)</f>
        <v>0</v>
      </c>
      <c r="BB20" s="100" t="s">
        <v>105</v>
      </c>
      <c r="BC20" s="100" t="s">
        <v>105</v>
      </c>
      <c r="BE20" s="100" t="s">
        <v>105</v>
      </c>
      <c r="BG20" s="100" t="s">
        <v>105</v>
      </c>
      <c r="BH20" s="100" t="s">
        <v>105</v>
      </c>
    </row>
    <row r="21" spans="2:60" s="100" customFormat="1" ht="12.75" x14ac:dyDescent="0.25">
      <c r="B21" s="197">
        <v>2</v>
      </c>
      <c r="C21" s="136"/>
      <c r="D21" s="101"/>
      <c r="E21" s="131"/>
      <c r="F21" s="147" t="str">
        <f t="shared" si="0"/>
        <v/>
      </c>
      <c r="G21" s="137"/>
      <c r="H21" s="136"/>
      <c r="I21" s="138"/>
      <c r="J21" s="134"/>
      <c r="K21" s="135"/>
      <c r="L21" s="131"/>
      <c r="M21" s="131" t="s">
        <v>104</v>
      </c>
      <c r="N21" s="149" t="str">
        <f t="shared" si="1"/>
        <v/>
      </c>
      <c r="O21" s="137"/>
      <c r="P21" s="136"/>
      <c r="Q21" s="192"/>
      <c r="R21" s="193"/>
      <c r="S21" s="151" t="str">
        <f t="shared" si="2"/>
        <v/>
      </c>
      <c r="T21" s="138"/>
      <c r="U21" s="287"/>
      <c r="V21" s="153" t="str">
        <f t="shared" ref="V21:V69" si="12">IF(AND(T21&gt;0,U21&gt;0),U21*T21,IF(OR(T21&lt;&gt;"",U21&lt;&gt;""),U21*T21,IF(S21&lt;&gt;"",0,"")))</f>
        <v/>
      </c>
      <c r="W21" s="336"/>
      <c r="X21" s="157" t="str">
        <f>IF(W21="","",IF($L$13=$AV$95, VLOOKUP(W21,'Criteria-Business'!$C$3:$M$104,7,FALSE),VLOOKUP(W21,'Criteria-SBP'!$C$3:$L$113,7,FALSE)))</f>
        <v/>
      </c>
      <c r="Y21" s="158" t="str">
        <f>IF(W21="","","/ "&amp;IF($L$13=$AV$95, VLOOKUP(W21,'Criteria-Business'!$C$3:$M$104,8,FALSE),VLOOKUP(W21,'Criteria-SBP'!$C$3:$L$113,8,FALSE)))</f>
        <v/>
      </c>
      <c r="Z21" s="159" t="str">
        <f t="shared" si="3"/>
        <v xml:space="preserve"> </v>
      </c>
      <c r="AA21" s="158" t="str">
        <f t="shared" si="4"/>
        <v>None</v>
      </c>
      <c r="AB21" s="107">
        <f t="shared" si="5"/>
        <v>0</v>
      </c>
      <c r="AC21" s="172" t="str">
        <f t="shared" si="6"/>
        <v/>
      </c>
      <c r="AD21" s="173" t="str">
        <f t="shared" si="7"/>
        <v/>
      </c>
      <c r="AE21" s="174" t="str">
        <f t="shared" si="8"/>
        <v/>
      </c>
      <c r="AF21" s="175" t="str">
        <f t="shared" si="9"/>
        <v/>
      </c>
      <c r="AG21" s="176" t="str">
        <f t="shared" ref="AG21:AH69" si="13">IF(AND(AC21="",AE21=""),"",IF(OR(AC21="",AE21=""),0,AC21-AE21))</f>
        <v/>
      </c>
      <c r="AH21" s="177" t="str">
        <f t="shared" si="13"/>
        <v/>
      </c>
      <c r="AI21" s="178" t="str">
        <f t="shared" si="10"/>
        <v/>
      </c>
      <c r="AJ21" s="170" t="str">
        <f t="shared" ref="AJ21:AJ69" si="14">IF(AND(S21&lt;&gt;"",AI21&gt;0),(S21+V21)/AI21,"")</f>
        <v/>
      </c>
      <c r="AK21" s="171">
        <f t="shared" ref="AK21:AK69" si="15">IF(OR(X21="", Q21=""),0,IF(LEFT(Y21,6)="/ Watt",MIN(AG21*1000*X21,S21*AM21),MIN(Q21*X21,S21*AM21))+IF(V21&lt;&gt;"",MIN(AL21,AN21*V21),0))</f>
        <v>0</v>
      </c>
      <c r="AL21" s="127">
        <f t="shared" ref="AL21:AL69" si="16">IF(AA21=$AV$98, 0,IF(AA21=$AV$99, Q21*Z21,IF(AA21=$AV$100, IF(OR(O21&gt;0,N21="Enter Watts"),O21*Q21*Z21,N21*Q21*Z21),IF(AA21=$AV$101, T21*Z21,0))))</f>
        <v>0</v>
      </c>
      <c r="AM21" s="112" t="str">
        <f>IF(W21="","",IF($L$13=$AV$95, VLOOKUP(W21,'Criteria-Business'!$C$3:$M$104,11,FALSE),VLOOKUP(W21,'Criteria-SBP'!$C$3:$L$113,10,FALSE)))</f>
        <v/>
      </c>
      <c r="AN21" s="110">
        <f t="shared" si="11"/>
        <v>1</v>
      </c>
      <c r="AO21" s="187" t="str">
        <f t="shared" ref="AO21:AO69" si="17">IF(AND(S21&lt;&gt;"",AI21&gt;0, AK21&lt;&gt;""),(S21+V21-AK21)/AI21,"")</f>
        <v/>
      </c>
      <c r="AP21" s="282" t="str">
        <f t="shared" ref="AP21:AP69" si="18">IF(OR(AND(I21&lt;&gt;Q21,W21&lt;&gt;"",LEFT(L21,3)="LED",ISNUMBER(SEARCH("Lamp",L21))),AND(I21&lt;&gt;Q21,W21&lt;&gt;"",LEFT(K21,3)&lt;&gt;"LED"),AND(I21&lt;&gt;Q21,W21&lt;&gt;"",AS21=0)),"Prescriptive measures must be 1-for-1 replacements.",IF(AND($L$13=$AV$94,OR(LEFT(W21,1)&lt;&gt;"S",LEFT(M21,1)&lt;&gt;"S"),W21&lt;&gt;"",M21&lt;&gt;"",M21&lt;&gt;"None"),"Estimated Incentive Codes for Small Business should start with an 'S'.",IF(AND($L$13=$AV$95,LEFT(W21,1)="S",W21&lt;&gt;""),"Estimated Incentive Codes for Small Business should NOT start with an 'S'.",IF(AND(I21&lt;&gt;Q21,W21="",LEFT(K21,3)="LED",ISNUMBER(SEARCH("Lamp",L21))),"For non 1:1 replacements, contact Focus on Energy for possible custom incentives.",IF(AND(AS21=1,I21=Q21),"Fixture Quantity Modification cannot have same number of fixtures installed.","")))))</f>
        <v/>
      </c>
      <c r="AR21" s="99"/>
      <c r="AS21" s="100">
        <f>COUNTIF('Criteria-SBP'!S$3:S$4,W21)</f>
        <v>0</v>
      </c>
      <c r="BH21" s="100" t="s">
        <v>105</v>
      </c>
    </row>
    <row r="22" spans="2:60" s="100" customFormat="1" ht="12.75" x14ac:dyDescent="0.25">
      <c r="B22" s="196">
        <v>3</v>
      </c>
      <c r="C22" s="130"/>
      <c r="D22" s="101"/>
      <c r="E22" s="131"/>
      <c r="F22" s="146" t="str">
        <f t="shared" si="0"/>
        <v/>
      </c>
      <c r="G22" s="132"/>
      <c r="H22" s="130"/>
      <c r="I22" s="133"/>
      <c r="J22" s="134"/>
      <c r="K22" s="135"/>
      <c r="L22" s="131"/>
      <c r="M22" s="131" t="s">
        <v>104</v>
      </c>
      <c r="N22" s="149" t="str">
        <f t="shared" si="1"/>
        <v/>
      </c>
      <c r="O22" s="132"/>
      <c r="P22" s="130"/>
      <c r="Q22" s="190"/>
      <c r="R22" s="193"/>
      <c r="S22" s="151" t="str">
        <f t="shared" si="2"/>
        <v/>
      </c>
      <c r="T22" s="138"/>
      <c r="U22" s="287"/>
      <c r="V22" s="153" t="str">
        <f t="shared" si="12"/>
        <v/>
      </c>
      <c r="W22" s="336"/>
      <c r="X22" s="157" t="str">
        <f>IF(W22="","",IF($L$13=$AV$95, VLOOKUP(W22,'Criteria-Business'!$C$3:$M$104,7,FALSE),VLOOKUP(W22,'Criteria-SBP'!$C$3:$L$113,7,FALSE)))</f>
        <v/>
      </c>
      <c r="Y22" s="158" t="str">
        <f>IF(W22="","","/ "&amp;IF($L$13=$AV$95, VLOOKUP(W22,'Criteria-Business'!$C$3:$M$104,8,FALSE),VLOOKUP(W22,'Criteria-SBP'!$C$3:$L$113,8,FALSE)))</f>
        <v/>
      </c>
      <c r="Z22" s="159" t="str">
        <f t="shared" si="3"/>
        <v xml:space="preserve"> </v>
      </c>
      <c r="AA22" s="158" t="str">
        <f t="shared" si="4"/>
        <v>None</v>
      </c>
      <c r="AB22" s="107">
        <f t="shared" si="5"/>
        <v>0</v>
      </c>
      <c r="AC22" s="172" t="str">
        <f t="shared" si="6"/>
        <v/>
      </c>
      <c r="AD22" s="173" t="str">
        <f t="shared" si="7"/>
        <v/>
      </c>
      <c r="AE22" s="174" t="str">
        <f t="shared" si="8"/>
        <v/>
      </c>
      <c r="AF22" s="175" t="str">
        <f t="shared" si="9"/>
        <v/>
      </c>
      <c r="AG22" s="176" t="str">
        <f t="shared" si="13"/>
        <v/>
      </c>
      <c r="AH22" s="177" t="str">
        <f t="shared" si="13"/>
        <v/>
      </c>
      <c r="AI22" s="178" t="str">
        <f t="shared" si="10"/>
        <v/>
      </c>
      <c r="AJ22" s="170" t="str">
        <f t="shared" si="14"/>
        <v/>
      </c>
      <c r="AK22" s="171">
        <f t="shared" si="15"/>
        <v>0</v>
      </c>
      <c r="AL22" s="127">
        <f t="shared" si="16"/>
        <v>0</v>
      </c>
      <c r="AM22" s="112" t="str">
        <f>IF(W22="","",IF($L$13=$AV$95, VLOOKUP(W22,'Criteria-Business'!$C$3:$M$104,11,FALSE),VLOOKUP(W22,'Criteria-SBP'!$C$3:$L$113,10,FALSE)))</f>
        <v/>
      </c>
      <c r="AN22" s="110">
        <f t="shared" si="11"/>
        <v>1</v>
      </c>
      <c r="AO22" s="187" t="str">
        <f t="shared" si="17"/>
        <v/>
      </c>
      <c r="AP22" s="282" t="str">
        <f t="shared" si="18"/>
        <v/>
      </c>
      <c r="AR22" s="99"/>
      <c r="AS22" s="100">
        <f>COUNTIF('Criteria-SBP'!S$3:S$4,W22)</f>
        <v>0</v>
      </c>
      <c r="BH22" s="100" t="s">
        <v>105</v>
      </c>
    </row>
    <row r="23" spans="2:60" s="100" customFormat="1" ht="12.75" x14ac:dyDescent="0.25">
      <c r="B23" s="196">
        <v>4</v>
      </c>
      <c r="C23" s="130"/>
      <c r="D23" s="101"/>
      <c r="E23" s="131"/>
      <c r="F23" s="146" t="str">
        <f t="shared" si="0"/>
        <v/>
      </c>
      <c r="G23" s="132"/>
      <c r="H23" s="130"/>
      <c r="I23" s="138"/>
      <c r="J23" s="134"/>
      <c r="K23" s="135"/>
      <c r="L23" s="131"/>
      <c r="M23" s="131" t="s">
        <v>104</v>
      </c>
      <c r="N23" s="149" t="str">
        <f t="shared" si="1"/>
        <v/>
      </c>
      <c r="O23" s="137"/>
      <c r="P23" s="130"/>
      <c r="Q23" s="190"/>
      <c r="R23" s="193"/>
      <c r="S23" s="151" t="str">
        <f t="shared" si="2"/>
        <v/>
      </c>
      <c r="T23" s="138"/>
      <c r="U23" s="287"/>
      <c r="V23" s="153" t="str">
        <f t="shared" si="12"/>
        <v/>
      </c>
      <c r="W23" s="336"/>
      <c r="X23" s="157" t="str">
        <f>IF(W23="","",IF($L$13=$AV$95, VLOOKUP(W23,'Criteria-Business'!$C$3:$M$104,7,FALSE),VLOOKUP(W23,'Criteria-SBP'!$C$3:$L$113,7,FALSE)))</f>
        <v/>
      </c>
      <c r="Y23" s="158" t="str">
        <f>IF(W23="","","/ "&amp;IF($L$13=$AV$95, VLOOKUP(W23,'Criteria-Business'!$C$3:$M$104,8,FALSE),VLOOKUP(W23,'Criteria-SBP'!$C$3:$L$113,8,FALSE)))</f>
        <v/>
      </c>
      <c r="Z23" s="159" t="str">
        <f t="shared" si="3"/>
        <v xml:space="preserve"> </v>
      </c>
      <c r="AA23" s="158" t="str">
        <f t="shared" si="4"/>
        <v>None</v>
      </c>
      <c r="AB23" s="107">
        <f t="shared" si="5"/>
        <v>0</v>
      </c>
      <c r="AC23" s="172" t="str">
        <f t="shared" si="6"/>
        <v/>
      </c>
      <c r="AD23" s="173" t="str">
        <f t="shared" si="7"/>
        <v/>
      </c>
      <c r="AE23" s="174" t="str">
        <f t="shared" si="8"/>
        <v/>
      </c>
      <c r="AF23" s="175" t="str">
        <f t="shared" si="9"/>
        <v/>
      </c>
      <c r="AG23" s="176" t="str">
        <f t="shared" si="13"/>
        <v/>
      </c>
      <c r="AH23" s="177" t="str">
        <f t="shared" si="13"/>
        <v/>
      </c>
      <c r="AI23" s="178" t="str">
        <f t="shared" si="10"/>
        <v/>
      </c>
      <c r="AJ23" s="170" t="str">
        <f t="shared" si="14"/>
        <v/>
      </c>
      <c r="AK23" s="171">
        <f t="shared" si="15"/>
        <v>0</v>
      </c>
      <c r="AL23" s="127">
        <f t="shared" si="16"/>
        <v>0</v>
      </c>
      <c r="AM23" s="112" t="str">
        <f>IF(W23="","",IF($L$13=$AV$95, VLOOKUP(W23,'Criteria-Business'!$C$3:$M$104,11,FALSE),VLOOKUP(W23,'Criteria-SBP'!$C$3:$L$113,10,FALSE)))</f>
        <v/>
      </c>
      <c r="AN23" s="110">
        <f t="shared" si="11"/>
        <v>1</v>
      </c>
      <c r="AO23" s="187" t="str">
        <f t="shared" si="17"/>
        <v/>
      </c>
      <c r="AP23" s="282" t="str">
        <f t="shared" si="18"/>
        <v/>
      </c>
      <c r="AR23" s="99"/>
      <c r="AS23" s="100">
        <f>COUNTIF('Criteria-SBP'!S$3:S$4,W23)</f>
        <v>0</v>
      </c>
      <c r="BH23" s="100" t="s">
        <v>105</v>
      </c>
    </row>
    <row r="24" spans="2:60" s="100" customFormat="1" ht="12.75" x14ac:dyDescent="0.25">
      <c r="B24" s="196">
        <v>5</v>
      </c>
      <c r="C24" s="130"/>
      <c r="D24" s="101"/>
      <c r="E24" s="131"/>
      <c r="F24" s="146" t="str">
        <f t="shared" si="0"/>
        <v/>
      </c>
      <c r="G24" s="132"/>
      <c r="H24" s="130"/>
      <c r="I24" s="133"/>
      <c r="J24" s="134"/>
      <c r="K24" s="135"/>
      <c r="L24" s="131"/>
      <c r="M24" s="131" t="s">
        <v>104</v>
      </c>
      <c r="N24" s="149" t="str">
        <f t="shared" si="1"/>
        <v/>
      </c>
      <c r="O24" s="132"/>
      <c r="P24" s="130"/>
      <c r="Q24" s="190"/>
      <c r="R24" s="193"/>
      <c r="S24" s="151" t="str">
        <f>IF(AND(Q24&gt;0,R24&gt;0),R24*Q24,IF(OR(Q24&lt;&gt;"",R24&lt;&gt;""),R24*Q24,""))</f>
        <v/>
      </c>
      <c r="T24" s="138"/>
      <c r="U24" s="287"/>
      <c r="V24" s="153" t="str">
        <f t="shared" si="12"/>
        <v/>
      </c>
      <c r="W24" s="336"/>
      <c r="X24" s="157" t="str">
        <f>IF(W24="","",IF($L$13=$AV$95, VLOOKUP(W24,'Criteria-Business'!$C$3:$M$104,7,FALSE),VLOOKUP(W24,'Criteria-SBP'!$C$3:$L$113,7,FALSE)))</f>
        <v/>
      </c>
      <c r="Y24" s="158" t="str">
        <f>IF(W24="","","/ "&amp;IF($L$13=$AV$95, VLOOKUP(W24,'Criteria-Business'!$C$3:$M$104,8,FALSE),VLOOKUP(W24,'Criteria-SBP'!$C$3:$L$113,8,FALSE)))</f>
        <v/>
      </c>
      <c r="Z24" s="159" t="str">
        <f t="shared" si="3"/>
        <v xml:space="preserve"> </v>
      </c>
      <c r="AA24" s="158" t="str">
        <f t="shared" si="4"/>
        <v>None</v>
      </c>
      <c r="AB24" s="107">
        <f t="shared" si="5"/>
        <v>0</v>
      </c>
      <c r="AC24" s="172" t="str">
        <f t="shared" si="6"/>
        <v/>
      </c>
      <c r="AD24" s="173" t="str">
        <f t="shared" si="7"/>
        <v/>
      </c>
      <c r="AE24" s="174" t="str">
        <f t="shared" si="8"/>
        <v/>
      </c>
      <c r="AF24" s="175" t="str">
        <f t="shared" si="9"/>
        <v/>
      </c>
      <c r="AG24" s="176" t="str">
        <f t="shared" si="13"/>
        <v/>
      </c>
      <c r="AH24" s="177" t="str">
        <f t="shared" si="13"/>
        <v/>
      </c>
      <c r="AI24" s="178" t="str">
        <f t="shared" si="10"/>
        <v/>
      </c>
      <c r="AJ24" s="170" t="str">
        <f t="shared" si="14"/>
        <v/>
      </c>
      <c r="AK24" s="171">
        <f t="shared" si="15"/>
        <v>0</v>
      </c>
      <c r="AL24" s="127">
        <f t="shared" si="16"/>
        <v>0</v>
      </c>
      <c r="AM24" s="112" t="str">
        <f>IF(W24="","",IF($L$13=$AV$95, VLOOKUP(W24,'Criteria-Business'!$C$3:$M$104,11,FALSE),VLOOKUP(W24,'Criteria-SBP'!$C$3:$L$113,10,FALSE)))</f>
        <v/>
      </c>
      <c r="AN24" s="110">
        <f t="shared" si="11"/>
        <v>1</v>
      </c>
      <c r="AO24" s="187" t="str">
        <f t="shared" si="17"/>
        <v/>
      </c>
      <c r="AP24" s="282" t="str">
        <f t="shared" si="18"/>
        <v/>
      </c>
      <c r="AR24" s="99"/>
      <c r="AS24" s="100">
        <f>COUNTIF('Criteria-SBP'!S$3:S$4,W24)</f>
        <v>0</v>
      </c>
      <c r="BH24" s="100" t="s">
        <v>105</v>
      </c>
    </row>
    <row r="25" spans="2:60" s="100" customFormat="1" ht="12.75" x14ac:dyDescent="0.25">
      <c r="B25" s="196">
        <v>6</v>
      </c>
      <c r="C25" s="130"/>
      <c r="D25" s="101"/>
      <c r="E25" s="131"/>
      <c r="F25" s="146" t="str">
        <f t="shared" si="0"/>
        <v/>
      </c>
      <c r="G25" s="132"/>
      <c r="H25" s="130"/>
      <c r="I25" s="133"/>
      <c r="J25" s="134"/>
      <c r="K25" s="135"/>
      <c r="L25" s="131"/>
      <c r="M25" s="131" t="s">
        <v>104</v>
      </c>
      <c r="N25" s="149" t="str">
        <f t="shared" si="1"/>
        <v/>
      </c>
      <c r="O25" s="132"/>
      <c r="P25" s="130"/>
      <c r="Q25" s="190"/>
      <c r="R25" s="193"/>
      <c r="S25" s="151" t="str">
        <f t="shared" ref="S25:S69" si="19">IF(AND(Q25&gt;0,R25&gt;0),R25*Q25,IF(OR(Q25&lt;&gt;"",R25&lt;&gt;""),R25*Q25,""))</f>
        <v/>
      </c>
      <c r="T25" s="138"/>
      <c r="U25" s="287"/>
      <c r="V25" s="153" t="str">
        <f t="shared" si="12"/>
        <v/>
      </c>
      <c r="W25" s="336"/>
      <c r="X25" s="157" t="str">
        <f>IF(W25="","",IF($L$13=$AV$95, VLOOKUP(W25,'Criteria-Business'!$C$3:$M$104,7,FALSE),VLOOKUP(W25,'Criteria-SBP'!$C$3:$L$113,7,FALSE)))</f>
        <v/>
      </c>
      <c r="Y25" s="158" t="str">
        <f>IF(W25="","","/ "&amp;IF($L$13=$AV$95, VLOOKUP(W25,'Criteria-Business'!$C$3:$M$104,8,FALSE),VLOOKUP(W25,'Criteria-SBP'!$C$3:$L$113,8,FALSE)))</f>
        <v/>
      </c>
      <c r="Z25" s="159" t="str">
        <f t="shared" si="3"/>
        <v xml:space="preserve"> </v>
      </c>
      <c r="AA25" s="158" t="str">
        <f t="shared" si="4"/>
        <v>None</v>
      </c>
      <c r="AB25" s="107">
        <f t="shared" si="5"/>
        <v>0</v>
      </c>
      <c r="AC25" s="172" t="str">
        <f t="shared" si="6"/>
        <v/>
      </c>
      <c r="AD25" s="173" t="str">
        <f t="shared" si="7"/>
        <v/>
      </c>
      <c r="AE25" s="174" t="str">
        <f t="shared" si="8"/>
        <v/>
      </c>
      <c r="AF25" s="175" t="str">
        <f t="shared" si="9"/>
        <v/>
      </c>
      <c r="AG25" s="176" t="str">
        <f t="shared" si="13"/>
        <v/>
      </c>
      <c r="AH25" s="177" t="str">
        <f t="shared" si="13"/>
        <v/>
      </c>
      <c r="AI25" s="178" t="str">
        <f t="shared" si="10"/>
        <v/>
      </c>
      <c r="AJ25" s="170" t="str">
        <f t="shared" si="14"/>
        <v/>
      </c>
      <c r="AK25" s="171">
        <f t="shared" si="15"/>
        <v>0</v>
      </c>
      <c r="AL25" s="127">
        <f t="shared" si="16"/>
        <v>0</v>
      </c>
      <c r="AM25" s="112" t="str">
        <f>IF(W25="","",IF($L$13=$AV$95, VLOOKUP(W25,'Criteria-Business'!$C$3:$M$104,11,FALSE),VLOOKUP(W25,'Criteria-SBP'!$C$3:$L$113,10,FALSE)))</f>
        <v/>
      </c>
      <c r="AN25" s="110">
        <f t="shared" si="11"/>
        <v>1</v>
      </c>
      <c r="AO25" s="187" t="str">
        <f t="shared" si="17"/>
        <v/>
      </c>
      <c r="AP25" s="282" t="str">
        <f t="shared" si="18"/>
        <v/>
      </c>
      <c r="AR25" s="99"/>
      <c r="AS25" s="100">
        <f>COUNTIF('Criteria-SBP'!S$3:S$4,W25)</f>
        <v>0</v>
      </c>
      <c r="BB25" s="100" t="s">
        <v>105</v>
      </c>
      <c r="BC25" s="100" t="s">
        <v>105</v>
      </c>
      <c r="BE25" s="100" t="s">
        <v>105</v>
      </c>
      <c r="BG25" s="100" t="s">
        <v>105</v>
      </c>
      <c r="BH25" s="100" t="s">
        <v>105</v>
      </c>
    </row>
    <row r="26" spans="2:60" s="100" customFormat="1" ht="15" customHeight="1" x14ac:dyDescent="0.25">
      <c r="B26" s="196">
        <v>7</v>
      </c>
      <c r="C26" s="130"/>
      <c r="D26" s="101"/>
      <c r="E26" s="131"/>
      <c r="F26" s="146" t="str">
        <f t="shared" si="0"/>
        <v/>
      </c>
      <c r="G26" s="132"/>
      <c r="H26" s="130"/>
      <c r="I26" s="133"/>
      <c r="J26" s="134"/>
      <c r="K26" s="135"/>
      <c r="L26" s="131"/>
      <c r="M26" s="131" t="s">
        <v>104</v>
      </c>
      <c r="N26" s="149" t="str">
        <f t="shared" si="1"/>
        <v/>
      </c>
      <c r="O26" s="132"/>
      <c r="P26" s="130"/>
      <c r="Q26" s="190"/>
      <c r="R26" s="193"/>
      <c r="S26" s="151" t="str">
        <f t="shared" si="19"/>
        <v/>
      </c>
      <c r="T26" s="138"/>
      <c r="U26" s="287"/>
      <c r="V26" s="153" t="str">
        <f t="shared" si="12"/>
        <v/>
      </c>
      <c r="W26" s="336"/>
      <c r="X26" s="157" t="str">
        <f>IF(W26="","",IF($L$13=$AV$95, VLOOKUP(W26,'Criteria-Business'!$C$3:$M$104,7,FALSE),VLOOKUP(W26,'Criteria-SBP'!$C$3:$L$113,7,FALSE)))</f>
        <v/>
      </c>
      <c r="Y26" s="158" t="str">
        <f>IF(W26="","","/ "&amp;IF($L$13=$AV$95, VLOOKUP(W26,'Criteria-Business'!$C$3:$M$104,8,FALSE),VLOOKUP(W26,'Criteria-SBP'!$C$3:$L$113,8,FALSE)))</f>
        <v/>
      </c>
      <c r="Z26" s="159" t="str">
        <f t="shared" si="3"/>
        <v xml:space="preserve"> </v>
      </c>
      <c r="AA26" s="158" t="str">
        <f t="shared" si="4"/>
        <v>None</v>
      </c>
      <c r="AB26" s="107">
        <f t="shared" si="5"/>
        <v>0</v>
      </c>
      <c r="AC26" s="172" t="str">
        <f t="shared" si="6"/>
        <v/>
      </c>
      <c r="AD26" s="173" t="str">
        <f t="shared" si="7"/>
        <v/>
      </c>
      <c r="AE26" s="174" t="str">
        <f t="shared" si="8"/>
        <v/>
      </c>
      <c r="AF26" s="175" t="str">
        <f t="shared" si="9"/>
        <v/>
      </c>
      <c r="AG26" s="176" t="str">
        <f t="shared" si="13"/>
        <v/>
      </c>
      <c r="AH26" s="177" t="str">
        <f t="shared" si="13"/>
        <v/>
      </c>
      <c r="AI26" s="178" t="str">
        <f t="shared" si="10"/>
        <v/>
      </c>
      <c r="AJ26" s="170" t="str">
        <f t="shared" si="14"/>
        <v/>
      </c>
      <c r="AK26" s="171">
        <f t="shared" si="15"/>
        <v>0</v>
      </c>
      <c r="AL26" s="127">
        <f t="shared" si="16"/>
        <v>0</v>
      </c>
      <c r="AM26" s="112" t="str">
        <f>IF(W26="","",IF($L$13=$AV$95, VLOOKUP(W26,'Criteria-Business'!$C$3:$M$104,11,FALSE),VLOOKUP(W26,'Criteria-SBP'!$C$3:$L$113,10,FALSE)))</f>
        <v/>
      </c>
      <c r="AN26" s="110">
        <f t="shared" si="11"/>
        <v>1</v>
      </c>
      <c r="AO26" s="187" t="str">
        <f t="shared" si="17"/>
        <v/>
      </c>
      <c r="AP26" s="282" t="str">
        <f t="shared" si="18"/>
        <v/>
      </c>
      <c r="AR26" s="99"/>
      <c r="AS26" s="100">
        <f>COUNTIF('Criteria-SBP'!S$3:S$4,W26)</f>
        <v>0</v>
      </c>
      <c r="BH26" s="100" t="s">
        <v>105</v>
      </c>
    </row>
    <row r="27" spans="2:60" s="100" customFormat="1" ht="15" customHeight="1" x14ac:dyDescent="0.25">
      <c r="B27" s="196">
        <v>8</v>
      </c>
      <c r="C27" s="130"/>
      <c r="D27" s="101"/>
      <c r="E27" s="131"/>
      <c r="F27" s="146" t="str">
        <f t="shared" si="0"/>
        <v/>
      </c>
      <c r="G27" s="132"/>
      <c r="H27" s="130"/>
      <c r="I27" s="133"/>
      <c r="J27" s="134"/>
      <c r="K27" s="135"/>
      <c r="L27" s="131"/>
      <c r="M27" s="131" t="s">
        <v>104</v>
      </c>
      <c r="N27" s="149" t="str">
        <f t="shared" si="1"/>
        <v/>
      </c>
      <c r="O27" s="132"/>
      <c r="P27" s="130"/>
      <c r="Q27" s="190"/>
      <c r="R27" s="193"/>
      <c r="S27" s="151" t="str">
        <f t="shared" si="19"/>
        <v/>
      </c>
      <c r="T27" s="138"/>
      <c r="U27" s="287"/>
      <c r="V27" s="153" t="str">
        <f t="shared" si="12"/>
        <v/>
      </c>
      <c r="W27" s="336"/>
      <c r="X27" s="157" t="str">
        <f>IF(W27="","",IF($L$13=$AV$95, VLOOKUP(W27,'Criteria-Business'!$C$3:$M$104,7,FALSE),VLOOKUP(W27,'Criteria-SBP'!$C$3:$L$113,7,FALSE)))</f>
        <v/>
      </c>
      <c r="Y27" s="158" t="str">
        <f>IF(W27="","","/ "&amp;IF($L$13=$AV$95, VLOOKUP(W27,'Criteria-Business'!$C$3:$M$104,8,FALSE),VLOOKUP(W27,'Criteria-SBP'!$C$3:$L$113,8,FALSE)))</f>
        <v/>
      </c>
      <c r="Z27" s="159" t="str">
        <f t="shared" si="3"/>
        <v xml:space="preserve"> </v>
      </c>
      <c r="AA27" s="158" t="str">
        <f t="shared" si="4"/>
        <v>None</v>
      </c>
      <c r="AB27" s="107">
        <f t="shared" si="5"/>
        <v>0</v>
      </c>
      <c r="AC27" s="172" t="str">
        <f t="shared" si="6"/>
        <v/>
      </c>
      <c r="AD27" s="173" t="str">
        <f t="shared" si="7"/>
        <v/>
      </c>
      <c r="AE27" s="174" t="str">
        <f t="shared" si="8"/>
        <v/>
      </c>
      <c r="AF27" s="175" t="str">
        <f t="shared" si="9"/>
        <v/>
      </c>
      <c r="AG27" s="176" t="str">
        <f t="shared" si="13"/>
        <v/>
      </c>
      <c r="AH27" s="177" t="str">
        <f t="shared" si="13"/>
        <v/>
      </c>
      <c r="AI27" s="178" t="str">
        <f t="shared" si="10"/>
        <v/>
      </c>
      <c r="AJ27" s="170" t="str">
        <f t="shared" si="14"/>
        <v/>
      </c>
      <c r="AK27" s="171">
        <f t="shared" si="15"/>
        <v>0</v>
      </c>
      <c r="AL27" s="127">
        <f t="shared" si="16"/>
        <v>0</v>
      </c>
      <c r="AM27" s="112" t="str">
        <f>IF(W27="","",IF($L$13=$AV$95, VLOOKUP(W27,'Criteria-Business'!$C$3:$M$104,11,FALSE),VLOOKUP(W27,'Criteria-SBP'!$C$3:$L$113,10,FALSE)))</f>
        <v/>
      </c>
      <c r="AN27" s="110">
        <f t="shared" si="11"/>
        <v>1</v>
      </c>
      <c r="AO27" s="187" t="str">
        <f t="shared" si="17"/>
        <v/>
      </c>
      <c r="AP27" s="282" t="str">
        <f t="shared" si="18"/>
        <v/>
      </c>
      <c r="AR27" s="99"/>
      <c r="AS27" s="100">
        <f>COUNTIF('Criteria-SBP'!S$3:S$4,W27)</f>
        <v>0</v>
      </c>
      <c r="BH27" s="100" t="s">
        <v>105</v>
      </c>
    </row>
    <row r="28" spans="2:60" s="100" customFormat="1" ht="15" customHeight="1" x14ac:dyDescent="0.25">
      <c r="B28" s="196">
        <v>9</v>
      </c>
      <c r="C28" s="130"/>
      <c r="D28" s="101"/>
      <c r="E28" s="131"/>
      <c r="F28" s="146" t="str">
        <f t="shared" si="0"/>
        <v/>
      </c>
      <c r="G28" s="132"/>
      <c r="H28" s="130"/>
      <c r="I28" s="133"/>
      <c r="J28" s="134"/>
      <c r="K28" s="135"/>
      <c r="L28" s="131"/>
      <c r="M28" s="131" t="s">
        <v>104</v>
      </c>
      <c r="N28" s="149" t="str">
        <f t="shared" si="1"/>
        <v/>
      </c>
      <c r="O28" s="132"/>
      <c r="P28" s="130"/>
      <c r="Q28" s="190"/>
      <c r="R28" s="193"/>
      <c r="S28" s="151" t="str">
        <f t="shared" si="19"/>
        <v/>
      </c>
      <c r="T28" s="138"/>
      <c r="U28" s="287"/>
      <c r="V28" s="153" t="str">
        <f t="shared" si="12"/>
        <v/>
      </c>
      <c r="W28" s="336"/>
      <c r="X28" s="157" t="str">
        <f>IF(W28="","",IF($L$13=$AV$95, VLOOKUP(W28,'Criteria-Business'!$C$3:$M$104,7,FALSE),VLOOKUP(W28,'Criteria-SBP'!$C$3:$L$113,7,FALSE)))</f>
        <v/>
      </c>
      <c r="Y28" s="158" t="str">
        <f>IF(W28="","","/ "&amp;IF($L$13=$AV$95, VLOOKUP(W28,'Criteria-Business'!$C$3:$M$104,8,FALSE),VLOOKUP(W28,'Criteria-SBP'!$C$3:$L$113,8,FALSE)))</f>
        <v/>
      </c>
      <c r="Z28" s="159" t="str">
        <f t="shared" si="3"/>
        <v xml:space="preserve"> </v>
      </c>
      <c r="AA28" s="158" t="str">
        <f t="shared" si="4"/>
        <v>None</v>
      </c>
      <c r="AB28" s="107">
        <f t="shared" si="5"/>
        <v>0</v>
      </c>
      <c r="AC28" s="172" t="str">
        <f t="shared" si="6"/>
        <v/>
      </c>
      <c r="AD28" s="173" t="str">
        <f t="shared" si="7"/>
        <v/>
      </c>
      <c r="AE28" s="174" t="str">
        <f t="shared" si="8"/>
        <v/>
      </c>
      <c r="AF28" s="175" t="str">
        <f t="shared" si="9"/>
        <v/>
      </c>
      <c r="AG28" s="176" t="str">
        <f t="shared" si="13"/>
        <v/>
      </c>
      <c r="AH28" s="177" t="str">
        <f t="shared" si="13"/>
        <v/>
      </c>
      <c r="AI28" s="178" t="str">
        <f t="shared" si="10"/>
        <v/>
      </c>
      <c r="AJ28" s="170" t="str">
        <f t="shared" si="14"/>
        <v/>
      </c>
      <c r="AK28" s="171">
        <f t="shared" si="15"/>
        <v>0</v>
      </c>
      <c r="AL28" s="127">
        <f t="shared" si="16"/>
        <v>0</v>
      </c>
      <c r="AM28" s="112" t="str">
        <f>IF(W28="","",IF($L$13=$AV$95, VLOOKUP(W28,'Criteria-Business'!$C$3:$M$104,11,FALSE),VLOOKUP(W28,'Criteria-SBP'!$C$3:$L$113,10,FALSE)))</f>
        <v/>
      </c>
      <c r="AN28" s="110">
        <f t="shared" si="11"/>
        <v>1</v>
      </c>
      <c r="AO28" s="187" t="str">
        <f t="shared" si="17"/>
        <v/>
      </c>
      <c r="AP28" s="282" t="str">
        <f t="shared" si="18"/>
        <v/>
      </c>
      <c r="AR28" s="99"/>
      <c r="AS28" s="100">
        <f>COUNTIF('Criteria-SBP'!S$3:S$4,W28)</f>
        <v>0</v>
      </c>
      <c r="BH28" s="100" t="s">
        <v>105</v>
      </c>
    </row>
    <row r="29" spans="2:60" s="100" customFormat="1" ht="15" customHeight="1" x14ac:dyDescent="0.25">
      <c r="B29" s="196">
        <v>10</v>
      </c>
      <c r="C29" s="130"/>
      <c r="D29" s="101"/>
      <c r="E29" s="131"/>
      <c r="F29" s="146" t="str">
        <f t="shared" si="0"/>
        <v/>
      </c>
      <c r="G29" s="132"/>
      <c r="H29" s="130"/>
      <c r="I29" s="133"/>
      <c r="J29" s="134"/>
      <c r="K29" s="135"/>
      <c r="L29" s="131"/>
      <c r="M29" s="131" t="s">
        <v>104</v>
      </c>
      <c r="N29" s="149" t="str">
        <f t="shared" si="1"/>
        <v/>
      </c>
      <c r="O29" s="132"/>
      <c r="P29" s="130"/>
      <c r="Q29" s="190"/>
      <c r="R29" s="193"/>
      <c r="S29" s="151" t="str">
        <f t="shared" si="19"/>
        <v/>
      </c>
      <c r="T29" s="138"/>
      <c r="U29" s="287"/>
      <c r="V29" s="153" t="str">
        <f t="shared" si="12"/>
        <v/>
      </c>
      <c r="W29" s="336"/>
      <c r="X29" s="157" t="str">
        <f>IF(W29="","",IF($L$13=$AV$95, VLOOKUP(W29,'Criteria-Business'!$C$3:$M$104,7,FALSE),VLOOKUP(W29,'Criteria-SBP'!$C$3:$L$113,7,FALSE)))</f>
        <v/>
      </c>
      <c r="Y29" s="158" t="str">
        <f>IF(W29="","","/ "&amp;IF($L$13=$AV$95, VLOOKUP(W29,'Criteria-Business'!$C$3:$M$104,8,FALSE),VLOOKUP(W29,'Criteria-SBP'!$C$3:$L$113,8,FALSE)))</f>
        <v/>
      </c>
      <c r="Z29" s="159" t="str">
        <f t="shared" si="3"/>
        <v xml:space="preserve"> </v>
      </c>
      <c r="AA29" s="158" t="str">
        <f t="shared" si="4"/>
        <v>None</v>
      </c>
      <c r="AB29" s="107">
        <f t="shared" si="5"/>
        <v>0</v>
      </c>
      <c r="AC29" s="172" t="str">
        <f t="shared" si="6"/>
        <v/>
      </c>
      <c r="AD29" s="173" t="str">
        <f t="shared" si="7"/>
        <v/>
      </c>
      <c r="AE29" s="174" t="str">
        <f t="shared" si="8"/>
        <v/>
      </c>
      <c r="AF29" s="175" t="str">
        <f t="shared" si="9"/>
        <v/>
      </c>
      <c r="AG29" s="176" t="str">
        <f t="shared" si="13"/>
        <v/>
      </c>
      <c r="AH29" s="177" t="str">
        <f t="shared" si="13"/>
        <v/>
      </c>
      <c r="AI29" s="178" t="str">
        <f t="shared" si="10"/>
        <v/>
      </c>
      <c r="AJ29" s="170" t="str">
        <f t="shared" si="14"/>
        <v/>
      </c>
      <c r="AK29" s="171">
        <f t="shared" si="15"/>
        <v>0</v>
      </c>
      <c r="AL29" s="127">
        <f t="shared" si="16"/>
        <v>0</v>
      </c>
      <c r="AM29" s="112" t="str">
        <f>IF(W29="","",IF($L$13=$AV$95, VLOOKUP(W29,'Criteria-Business'!$C$3:$M$104,11,FALSE),VLOOKUP(W29,'Criteria-SBP'!$C$3:$L$113,10,FALSE)))</f>
        <v/>
      </c>
      <c r="AN29" s="110">
        <f t="shared" si="11"/>
        <v>1</v>
      </c>
      <c r="AO29" s="187" t="str">
        <f t="shared" si="17"/>
        <v/>
      </c>
      <c r="AP29" s="282" t="str">
        <f t="shared" si="18"/>
        <v/>
      </c>
      <c r="AR29" s="99"/>
      <c r="AS29" s="100">
        <f>COUNTIF('Criteria-SBP'!S$3:S$4,W29)</f>
        <v>0</v>
      </c>
      <c r="BH29" s="100" t="s">
        <v>105</v>
      </c>
    </row>
    <row r="30" spans="2:60" s="100" customFormat="1" ht="15" customHeight="1" x14ac:dyDescent="0.25">
      <c r="B30" s="196">
        <v>11</v>
      </c>
      <c r="C30" s="130"/>
      <c r="D30" s="101"/>
      <c r="E30" s="131"/>
      <c r="F30" s="146" t="str">
        <f t="shared" si="0"/>
        <v/>
      </c>
      <c r="G30" s="132"/>
      <c r="H30" s="130"/>
      <c r="I30" s="133"/>
      <c r="J30" s="134"/>
      <c r="K30" s="135"/>
      <c r="L30" s="131"/>
      <c r="M30" s="131" t="s">
        <v>104</v>
      </c>
      <c r="N30" s="149" t="str">
        <f t="shared" si="1"/>
        <v/>
      </c>
      <c r="O30" s="132"/>
      <c r="P30" s="130"/>
      <c r="Q30" s="190"/>
      <c r="R30" s="193"/>
      <c r="S30" s="151" t="str">
        <f t="shared" si="19"/>
        <v/>
      </c>
      <c r="T30" s="138"/>
      <c r="U30" s="287"/>
      <c r="V30" s="153" t="str">
        <f t="shared" si="12"/>
        <v/>
      </c>
      <c r="W30" s="336"/>
      <c r="X30" s="157" t="str">
        <f>IF(W30="","",IF($L$13=$AV$95, VLOOKUP(W30,'Criteria-Business'!$C$3:$M$104,7,FALSE),VLOOKUP(W30,'Criteria-SBP'!$C$3:$L$113,7,FALSE)))</f>
        <v/>
      </c>
      <c r="Y30" s="158" t="str">
        <f>IF(W30="","","/ "&amp;IF($L$13=$AV$95, VLOOKUP(W30,'Criteria-Business'!$C$3:$M$104,8,FALSE),VLOOKUP(W30,'Criteria-SBP'!$C$3:$L$113,8,FALSE)))</f>
        <v/>
      </c>
      <c r="Z30" s="159" t="str">
        <f t="shared" si="3"/>
        <v xml:space="preserve"> </v>
      </c>
      <c r="AA30" s="158" t="str">
        <f t="shared" si="4"/>
        <v>None</v>
      </c>
      <c r="AB30" s="107">
        <f t="shared" si="5"/>
        <v>0</v>
      </c>
      <c r="AC30" s="172" t="str">
        <f t="shared" si="6"/>
        <v/>
      </c>
      <c r="AD30" s="173" t="str">
        <f t="shared" si="7"/>
        <v/>
      </c>
      <c r="AE30" s="174" t="str">
        <f t="shared" si="8"/>
        <v/>
      </c>
      <c r="AF30" s="175" t="str">
        <f t="shared" si="9"/>
        <v/>
      </c>
      <c r="AG30" s="176" t="str">
        <f t="shared" si="13"/>
        <v/>
      </c>
      <c r="AH30" s="177" t="str">
        <f t="shared" si="13"/>
        <v/>
      </c>
      <c r="AI30" s="178" t="str">
        <f t="shared" si="10"/>
        <v/>
      </c>
      <c r="AJ30" s="170" t="str">
        <f t="shared" si="14"/>
        <v/>
      </c>
      <c r="AK30" s="171">
        <f t="shared" si="15"/>
        <v>0</v>
      </c>
      <c r="AL30" s="127">
        <f t="shared" si="16"/>
        <v>0</v>
      </c>
      <c r="AM30" s="112" t="str">
        <f>IF(W30="","",IF($L$13=$AV$95, VLOOKUP(W30,'Criteria-Business'!$C$3:$M$104,11,FALSE),VLOOKUP(W30,'Criteria-SBP'!$C$3:$L$113,10,FALSE)))</f>
        <v/>
      </c>
      <c r="AN30" s="110">
        <f t="shared" si="11"/>
        <v>1</v>
      </c>
      <c r="AO30" s="187" t="str">
        <f t="shared" si="17"/>
        <v/>
      </c>
      <c r="AP30" s="282" t="str">
        <f t="shared" si="18"/>
        <v/>
      </c>
      <c r="AR30" s="99"/>
      <c r="AS30" s="100">
        <f>COUNTIF('Criteria-SBP'!S$3:S$4,W30)</f>
        <v>0</v>
      </c>
      <c r="BH30" s="100" t="s">
        <v>105</v>
      </c>
    </row>
    <row r="31" spans="2:60" s="100" customFormat="1" ht="15" customHeight="1" x14ac:dyDescent="0.25">
      <c r="B31" s="196">
        <v>12</v>
      </c>
      <c r="C31" s="130"/>
      <c r="D31" s="101"/>
      <c r="E31" s="131"/>
      <c r="F31" s="146" t="str">
        <f t="shared" si="0"/>
        <v/>
      </c>
      <c r="G31" s="132"/>
      <c r="H31" s="130"/>
      <c r="I31" s="133"/>
      <c r="J31" s="134"/>
      <c r="K31" s="135"/>
      <c r="L31" s="131"/>
      <c r="M31" s="131" t="s">
        <v>104</v>
      </c>
      <c r="N31" s="149" t="str">
        <f t="shared" si="1"/>
        <v/>
      </c>
      <c r="O31" s="132"/>
      <c r="P31" s="130"/>
      <c r="Q31" s="190"/>
      <c r="R31" s="193"/>
      <c r="S31" s="151" t="str">
        <f t="shared" si="19"/>
        <v/>
      </c>
      <c r="T31" s="138"/>
      <c r="U31" s="287"/>
      <c r="V31" s="153" t="str">
        <f t="shared" si="12"/>
        <v/>
      </c>
      <c r="W31" s="336"/>
      <c r="X31" s="157" t="str">
        <f>IF(W31="","",IF($L$13=$AV$95, VLOOKUP(W31,'Criteria-Business'!$C$3:$M$104,7,FALSE),VLOOKUP(W31,'Criteria-SBP'!$C$3:$L$113,7,FALSE)))</f>
        <v/>
      </c>
      <c r="Y31" s="158" t="str">
        <f>IF(W31="","","/ "&amp;IF($L$13=$AV$95, VLOOKUP(W31,'Criteria-Business'!$C$3:$M$104,8,FALSE),VLOOKUP(W31,'Criteria-SBP'!$C$3:$L$113,8,FALSE)))</f>
        <v/>
      </c>
      <c r="Z31" s="159" t="str">
        <f t="shared" si="3"/>
        <v xml:space="preserve"> </v>
      </c>
      <c r="AA31" s="158" t="str">
        <f t="shared" si="4"/>
        <v>None</v>
      </c>
      <c r="AB31" s="107">
        <f t="shared" si="5"/>
        <v>0</v>
      </c>
      <c r="AC31" s="172" t="str">
        <f t="shared" si="6"/>
        <v/>
      </c>
      <c r="AD31" s="173" t="str">
        <f t="shared" si="7"/>
        <v/>
      </c>
      <c r="AE31" s="174" t="str">
        <f t="shared" si="8"/>
        <v/>
      </c>
      <c r="AF31" s="175" t="str">
        <f t="shared" si="9"/>
        <v/>
      </c>
      <c r="AG31" s="176" t="str">
        <f t="shared" si="13"/>
        <v/>
      </c>
      <c r="AH31" s="177" t="str">
        <f t="shared" si="13"/>
        <v/>
      </c>
      <c r="AI31" s="178" t="str">
        <f t="shared" si="10"/>
        <v/>
      </c>
      <c r="AJ31" s="170" t="str">
        <f t="shared" si="14"/>
        <v/>
      </c>
      <c r="AK31" s="171">
        <f t="shared" si="15"/>
        <v>0</v>
      </c>
      <c r="AL31" s="127">
        <f t="shared" si="16"/>
        <v>0</v>
      </c>
      <c r="AM31" s="112" t="str">
        <f>IF(W31="","",IF($L$13=$AV$95, VLOOKUP(W31,'Criteria-Business'!$C$3:$M$104,11,FALSE),VLOOKUP(W31,'Criteria-SBP'!$C$3:$L$113,10,FALSE)))</f>
        <v/>
      </c>
      <c r="AN31" s="110">
        <f t="shared" si="11"/>
        <v>1</v>
      </c>
      <c r="AO31" s="187" t="str">
        <f t="shared" si="17"/>
        <v/>
      </c>
      <c r="AP31" s="282" t="str">
        <f t="shared" si="18"/>
        <v/>
      </c>
      <c r="AR31" s="99"/>
      <c r="AS31" s="100">
        <f>COUNTIF('Criteria-SBP'!S$3:S$4,W31)</f>
        <v>0</v>
      </c>
      <c r="BB31" s="100" t="s">
        <v>105</v>
      </c>
      <c r="BC31" s="100" t="s">
        <v>105</v>
      </c>
      <c r="BE31" s="100" t="s">
        <v>105</v>
      </c>
      <c r="BG31" s="100" t="s">
        <v>105</v>
      </c>
      <c r="BH31" s="100" t="s">
        <v>105</v>
      </c>
    </row>
    <row r="32" spans="2:60" s="100" customFormat="1" ht="15" customHeight="1" x14ac:dyDescent="0.25">
      <c r="B32" s="196">
        <v>13</v>
      </c>
      <c r="C32" s="130"/>
      <c r="D32" s="101"/>
      <c r="E32" s="131"/>
      <c r="F32" s="146" t="str">
        <f t="shared" si="0"/>
        <v/>
      </c>
      <c r="G32" s="132"/>
      <c r="H32" s="130"/>
      <c r="I32" s="133"/>
      <c r="J32" s="134"/>
      <c r="K32" s="135"/>
      <c r="L32" s="131"/>
      <c r="M32" s="131" t="s">
        <v>104</v>
      </c>
      <c r="N32" s="149" t="str">
        <f t="shared" si="1"/>
        <v/>
      </c>
      <c r="O32" s="132"/>
      <c r="P32" s="130"/>
      <c r="Q32" s="190"/>
      <c r="R32" s="193"/>
      <c r="S32" s="151" t="str">
        <f t="shared" si="19"/>
        <v/>
      </c>
      <c r="T32" s="138"/>
      <c r="U32" s="287"/>
      <c r="V32" s="153" t="str">
        <f t="shared" si="12"/>
        <v/>
      </c>
      <c r="W32" s="336"/>
      <c r="X32" s="157" t="str">
        <f>IF(W32="","",IF($L$13=$AV$95, VLOOKUP(W32,'Criteria-Business'!$C$3:$M$104,7,FALSE),VLOOKUP(W32,'Criteria-SBP'!$C$3:$L$113,7,FALSE)))</f>
        <v/>
      </c>
      <c r="Y32" s="158" t="str">
        <f>IF(W32="","","/ "&amp;IF($L$13=$AV$95, VLOOKUP(W32,'Criteria-Business'!$C$3:$M$104,8,FALSE),VLOOKUP(W32,'Criteria-SBP'!$C$3:$L$113,8,FALSE)))</f>
        <v/>
      </c>
      <c r="Z32" s="159" t="str">
        <f t="shared" si="3"/>
        <v xml:space="preserve"> </v>
      </c>
      <c r="AA32" s="158" t="str">
        <f t="shared" si="4"/>
        <v>None</v>
      </c>
      <c r="AB32" s="107">
        <f t="shared" si="5"/>
        <v>0</v>
      </c>
      <c r="AC32" s="172" t="str">
        <f t="shared" si="6"/>
        <v/>
      </c>
      <c r="AD32" s="173" t="str">
        <f t="shared" si="7"/>
        <v/>
      </c>
      <c r="AE32" s="174" t="str">
        <f t="shared" si="8"/>
        <v/>
      </c>
      <c r="AF32" s="175" t="str">
        <f t="shared" si="9"/>
        <v/>
      </c>
      <c r="AG32" s="176" t="str">
        <f t="shared" si="13"/>
        <v/>
      </c>
      <c r="AH32" s="177" t="str">
        <f t="shared" si="13"/>
        <v/>
      </c>
      <c r="AI32" s="178" t="str">
        <f t="shared" si="10"/>
        <v/>
      </c>
      <c r="AJ32" s="170" t="str">
        <f t="shared" si="14"/>
        <v/>
      </c>
      <c r="AK32" s="171">
        <f t="shared" si="15"/>
        <v>0</v>
      </c>
      <c r="AL32" s="127">
        <f t="shared" si="16"/>
        <v>0</v>
      </c>
      <c r="AM32" s="112" t="str">
        <f>IF(W32="","",IF($L$13=$AV$95, VLOOKUP(W32,'Criteria-Business'!$C$3:$M$104,11,FALSE),VLOOKUP(W32,'Criteria-SBP'!$C$3:$L$113,10,FALSE)))</f>
        <v/>
      </c>
      <c r="AN32" s="110">
        <f t="shared" si="11"/>
        <v>1</v>
      </c>
      <c r="AO32" s="187" t="str">
        <f t="shared" si="17"/>
        <v/>
      </c>
      <c r="AP32" s="282" t="str">
        <f t="shared" si="18"/>
        <v/>
      </c>
      <c r="AR32" s="99"/>
      <c r="AS32" s="100">
        <f>COUNTIF('Criteria-SBP'!S$3:S$4,W32)</f>
        <v>0</v>
      </c>
      <c r="BH32" s="100" t="s">
        <v>105</v>
      </c>
    </row>
    <row r="33" spans="2:60" s="100" customFormat="1" ht="15" customHeight="1" x14ac:dyDescent="0.25">
      <c r="B33" s="196">
        <v>14</v>
      </c>
      <c r="C33" s="130"/>
      <c r="D33" s="101"/>
      <c r="E33" s="131"/>
      <c r="F33" s="146" t="str">
        <f t="shared" si="0"/>
        <v/>
      </c>
      <c r="G33" s="132"/>
      <c r="H33" s="130"/>
      <c r="I33" s="133"/>
      <c r="J33" s="134"/>
      <c r="K33" s="135"/>
      <c r="L33" s="131"/>
      <c r="M33" s="131" t="s">
        <v>104</v>
      </c>
      <c r="N33" s="149" t="str">
        <f t="shared" si="1"/>
        <v/>
      </c>
      <c r="O33" s="132"/>
      <c r="P33" s="130"/>
      <c r="Q33" s="190"/>
      <c r="R33" s="193"/>
      <c r="S33" s="151" t="str">
        <f t="shared" si="19"/>
        <v/>
      </c>
      <c r="T33" s="138"/>
      <c r="U33" s="287"/>
      <c r="V33" s="153" t="str">
        <f t="shared" si="12"/>
        <v/>
      </c>
      <c r="W33" s="336"/>
      <c r="X33" s="157" t="str">
        <f>IF(W33="","",IF($L$13=$AV$95, VLOOKUP(W33,'Criteria-Business'!$C$3:$M$104,7,FALSE),VLOOKUP(W33,'Criteria-SBP'!$C$3:$L$113,7,FALSE)))</f>
        <v/>
      </c>
      <c r="Y33" s="158" t="str">
        <f>IF(W33="","","/ "&amp;IF($L$13=$AV$95, VLOOKUP(W33,'Criteria-Business'!$C$3:$M$104,8,FALSE),VLOOKUP(W33,'Criteria-SBP'!$C$3:$L$113,8,FALSE)))</f>
        <v/>
      </c>
      <c r="Z33" s="159" t="str">
        <f t="shared" si="3"/>
        <v xml:space="preserve"> </v>
      </c>
      <c r="AA33" s="158" t="str">
        <f t="shared" si="4"/>
        <v>None</v>
      </c>
      <c r="AB33" s="107">
        <f t="shared" si="5"/>
        <v>0</v>
      </c>
      <c r="AC33" s="172" t="str">
        <f t="shared" si="6"/>
        <v/>
      </c>
      <c r="AD33" s="173" t="str">
        <f t="shared" si="7"/>
        <v/>
      </c>
      <c r="AE33" s="174" t="str">
        <f t="shared" si="8"/>
        <v/>
      </c>
      <c r="AF33" s="175" t="str">
        <f t="shared" si="9"/>
        <v/>
      </c>
      <c r="AG33" s="176" t="str">
        <f t="shared" si="13"/>
        <v/>
      </c>
      <c r="AH33" s="177" t="str">
        <f t="shared" si="13"/>
        <v/>
      </c>
      <c r="AI33" s="178" t="str">
        <f t="shared" si="10"/>
        <v/>
      </c>
      <c r="AJ33" s="170" t="str">
        <f t="shared" si="14"/>
        <v/>
      </c>
      <c r="AK33" s="171">
        <f t="shared" si="15"/>
        <v>0</v>
      </c>
      <c r="AL33" s="127">
        <f t="shared" si="16"/>
        <v>0</v>
      </c>
      <c r="AM33" s="112" t="str">
        <f>IF(W33="","",IF($L$13=$AV$95, VLOOKUP(W33,'Criteria-Business'!$C$3:$M$104,11,FALSE),VLOOKUP(W33,'Criteria-SBP'!$C$3:$L$113,10,FALSE)))</f>
        <v/>
      </c>
      <c r="AN33" s="110">
        <f t="shared" si="11"/>
        <v>1</v>
      </c>
      <c r="AO33" s="187" t="str">
        <f t="shared" si="17"/>
        <v/>
      </c>
      <c r="AP33" s="282" t="str">
        <f t="shared" si="18"/>
        <v/>
      </c>
      <c r="AR33" s="99"/>
      <c r="AS33" s="100">
        <f>COUNTIF('Criteria-SBP'!S$3:S$4,W33)</f>
        <v>0</v>
      </c>
      <c r="BH33" s="100" t="s">
        <v>105</v>
      </c>
    </row>
    <row r="34" spans="2:60" s="100" customFormat="1" ht="15" customHeight="1" x14ac:dyDescent="0.25">
      <c r="B34" s="196">
        <v>15</v>
      </c>
      <c r="C34" s="130"/>
      <c r="D34" s="101"/>
      <c r="E34" s="131"/>
      <c r="F34" s="146" t="str">
        <f t="shared" si="0"/>
        <v/>
      </c>
      <c r="G34" s="132"/>
      <c r="H34" s="130"/>
      <c r="I34" s="133"/>
      <c r="J34" s="134"/>
      <c r="K34" s="135"/>
      <c r="L34" s="131"/>
      <c r="M34" s="131" t="s">
        <v>104</v>
      </c>
      <c r="N34" s="149" t="str">
        <f t="shared" si="1"/>
        <v/>
      </c>
      <c r="O34" s="132"/>
      <c r="P34" s="130"/>
      <c r="Q34" s="190"/>
      <c r="R34" s="193"/>
      <c r="S34" s="151" t="str">
        <f t="shared" si="19"/>
        <v/>
      </c>
      <c r="T34" s="138"/>
      <c r="U34" s="287"/>
      <c r="V34" s="153" t="str">
        <f t="shared" si="12"/>
        <v/>
      </c>
      <c r="W34" s="336"/>
      <c r="X34" s="157" t="str">
        <f>IF(W34="","",IF($L$13=$AV$95, VLOOKUP(W34,'Criteria-Business'!$C$3:$M$104,7,FALSE),VLOOKUP(W34,'Criteria-SBP'!$C$3:$L$113,7,FALSE)))</f>
        <v/>
      </c>
      <c r="Y34" s="158" t="str">
        <f>IF(W34="","","/ "&amp;IF($L$13=$AV$95, VLOOKUP(W34,'Criteria-Business'!$C$3:$M$104,8,FALSE),VLOOKUP(W34,'Criteria-SBP'!$C$3:$L$113,8,FALSE)))</f>
        <v/>
      </c>
      <c r="Z34" s="159" t="str">
        <f t="shared" si="3"/>
        <v xml:space="preserve"> </v>
      </c>
      <c r="AA34" s="158" t="str">
        <f t="shared" si="4"/>
        <v>None</v>
      </c>
      <c r="AB34" s="107">
        <f t="shared" si="5"/>
        <v>0</v>
      </c>
      <c r="AC34" s="172" t="str">
        <f t="shared" si="6"/>
        <v/>
      </c>
      <c r="AD34" s="173" t="str">
        <f t="shared" si="7"/>
        <v/>
      </c>
      <c r="AE34" s="174" t="str">
        <f t="shared" si="8"/>
        <v/>
      </c>
      <c r="AF34" s="175" t="str">
        <f t="shared" si="9"/>
        <v/>
      </c>
      <c r="AG34" s="176" t="str">
        <f t="shared" si="13"/>
        <v/>
      </c>
      <c r="AH34" s="177" t="str">
        <f t="shared" si="13"/>
        <v/>
      </c>
      <c r="AI34" s="178" t="str">
        <f t="shared" si="10"/>
        <v/>
      </c>
      <c r="AJ34" s="170" t="str">
        <f t="shared" si="14"/>
        <v/>
      </c>
      <c r="AK34" s="171">
        <f t="shared" si="15"/>
        <v>0</v>
      </c>
      <c r="AL34" s="127">
        <f t="shared" si="16"/>
        <v>0</v>
      </c>
      <c r="AM34" s="112" t="str">
        <f>IF(W34="","",IF($L$13=$AV$95, VLOOKUP(W34,'Criteria-Business'!$C$3:$M$104,11,FALSE),VLOOKUP(W34,'Criteria-SBP'!$C$3:$L$113,10,FALSE)))</f>
        <v/>
      </c>
      <c r="AN34" s="110">
        <f t="shared" si="11"/>
        <v>1</v>
      </c>
      <c r="AO34" s="187" t="str">
        <f t="shared" si="17"/>
        <v/>
      </c>
      <c r="AP34" s="282" t="str">
        <f t="shared" si="18"/>
        <v/>
      </c>
      <c r="AR34" s="99"/>
      <c r="AS34" s="100">
        <f>COUNTIF('Criteria-SBP'!S$3:S$4,W34)</f>
        <v>0</v>
      </c>
      <c r="BH34" s="100" t="s">
        <v>105</v>
      </c>
    </row>
    <row r="35" spans="2:60" s="100" customFormat="1" ht="15" customHeight="1" x14ac:dyDescent="0.25">
      <c r="B35" s="196">
        <v>16</v>
      </c>
      <c r="C35" s="130"/>
      <c r="D35" s="101"/>
      <c r="E35" s="131"/>
      <c r="F35" s="146" t="str">
        <f t="shared" si="0"/>
        <v/>
      </c>
      <c r="G35" s="132"/>
      <c r="H35" s="130"/>
      <c r="I35" s="133"/>
      <c r="J35" s="134"/>
      <c r="K35" s="135"/>
      <c r="L35" s="131"/>
      <c r="M35" s="131" t="s">
        <v>104</v>
      </c>
      <c r="N35" s="149" t="str">
        <f t="shared" si="1"/>
        <v/>
      </c>
      <c r="O35" s="132"/>
      <c r="P35" s="130"/>
      <c r="Q35" s="190"/>
      <c r="R35" s="193"/>
      <c r="S35" s="151" t="str">
        <f t="shared" si="19"/>
        <v/>
      </c>
      <c r="T35" s="138"/>
      <c r="U35" s="287"/>
      <c r="V35" s="153" t="str">
        <f t="shared" si="12"/>
        <v/>
      </c>
      <c r="W35" s="336"/>
      <c r="X35" s="157" t="str">
        <f>IF(W35="","",IF($L$13=$AV$95, VLOOKUP(W35,'Criteria-Business'!$C$3:$M$104,7,FALSE),VLOOKUP(W35,'Criteria-SBP'!$C$3:$L$113,7,FALSE)))</f>
        <v/>
      </c>
      <c r="Y35" s="158" t="str">
        <f>IF(W35="","","/ "&amp;IF($L$13=$AV$95, VLOOKUP(W35,'Criteria-Business'!$C$3:$M$104,8,FALSE),VLOOKUP(W35,'Criteria-SBP'!$C$3:$L$113,8,FALSE)))</f>
        <v/>
      </c>
      <c r="Z35" s="159" t="str">
        <f t="shared" si="3"/>
        <v xml:space="preserve"> </v>
      </c>
      <c r="AA35" s="158" t="str">
        <f t="shared" si="4"/>
        <v>None</v>
      </c>
      <c r="AB35" s="107">
        <f t="shared" si="5"/>
        <v>0</v>
      </c>
      <c r="AC35" s="172" t="str">
        <f t="shared" si="6"/>
        <v/>
      </c>
      <c r="AD35" s="173" t="str">
        <f t="shared" si="7"/>
        <v/>
      </c>
      <c r="AE35" s="174" t="str">
        <f t="shared" si="8"/>
        <v/>
      </c>
      <c r="AF35" s="175" t="str">
        <f t="shared" si="9"/>
        <v/>
      </c>
      <c r="AG35" s="176" t="str">
        <f t="shared" si="13"/>
        <v/>
      </c>
      <c r="AH35" s="177" t="str">
        <f t="shared" si="13"/>
        <v/>
      </c>
      <c r="AI35" s="178" t="str">
        <f t="shared" si="10"/>
        <v/>
      </c>
      <c r="AJ35" s="170" t="str">
        <f t="shared" si="14"/>
        <v/>
      </c>
      <c r="AK35" s="171">
        <f t="shared" si="15"/>
        <v>0</v>
      </c>
      <c r="AL35" s="127">
        <f t="shared" si="16"/>
        <v>0</v>
      </c>
      <c r="AM35" s="112" t="str">
        <f>IF(W35="","",IF($L$13=$AV$95, VLOOKUP(W35,'Criteria-Business'!$C$3:$M$104,11,FALSE),VLOOKUP(W35,'Criteria-SBP'!$C$3:$L$113,10,FALSE)))</f>
        <v/>
      </c>
      <c r="AN35" s="110">
        <f t="shared" si="11"/>
        <v>1</v>
      </c>
      <c r="AO35" s="187" t="str">
        <f t="shared" si="17"/>
        <v/>
      </c>
      <c r="AP35" s="282" t="str">
        <f t="shared" si="18"/>
        <v/>
      </c>
      <c r="AR35" s="99"/>
      <c r="AS35" s="100">
        <f>COUNTIF('Criteria-SBP'!S$3:S$4,W35)</f>
        <v>0</v>
      </c>
      <c r="BH35" s="100" t="s">
        <v>105</v>
      </c>
    </row>
    <row r="36" spans="2:60" s="100" customFormat="1" ht="15" customHeight="1" x14ac:dyDescent="0.25">
      <c r="B36" s="196">
        <v>17</v>
      </c>
      <c r="C36" s="130"/>
      <c r="D36" s="101"/>
      <c r="E36" s="131"/>
      <c r="F36" s="146" t="str">
        <f t="shared" si="0"/>
        <v/>
      </c>
      <c r="G36" s="132"/>
      <c r="H36" s="130"/>
      <c r="I36" s="133"/>
      <c r="J36" s="134"/>
      <c r="K36" s="135"/>
      <c r="L36" s="131"/>
      <c r="M36" s="131" t="s">
        <v>104</v>
      </c>
      <c r="N36" s="149" t="str">
        <f t="shared" si="1"/>
        <v/>
      </c>
      <c r="O36" s="132"/>
      <c r="P36" s="130"/>
      <c r="Q36" s="190"/>
      <c r="R36" s="193"/>
      <c r="S36" s="151" t="str">
        <f t="shared" si="19"/>
        <v/>
      </c>
      <c r="T36" s="138"/>
      <c r="U36" s="287"/>
      <c r="V36" s="153" t="str">
        <f t="shared" si="12"/>
        <v/>
      </c>
      <c r="W36" s="336"/>
      <c r="X36" s="157" t="str">
        <f>IF(W36="","",IF($L$13=$AV$95, VLOOKUP(W36,'Criteria-Business'!$C$3:$M$104,7,FALSE),VLOOKUP(W36,'Criteria-SBP'!$C$3:$L$113,7,FALSE)))</f>
        <v/>
      </c>
      <c r="Y36" s="158" t="str">
        <f>IF(W36="","","/ "&amp;IF($L$13=$AV$95, VLOOKUP(W36,'Criteria-Business'!$C$3:$M$104,8,FALSE),VLOOKUP(W36,'Criteria-SBP'!$C$3:$L$113,8,FALSE)))</f>
        <v/>
      </c>
      <c r="Z36" s="159" t="str">
        <f t="shared" si="3"/>
        <v xml:space="preserve"> </v>
      </c>
      <c r="AA36" s="158" t="str">
        <f t="shared" si="4"/>
        <v>None</v>
      </c>
      <c r="AB36" s="107">
        <f t="shared" si="5"/>
        <v>0</v>
      </c>
      <c r="AC36" s="172" t="str">
        <f t="shared" si="6"/>
        <v/>
      </c>
      <c r="AD36" s="173" t="str">
        <f t="shared" si="7"/>
        <v/>
      </c>
      <c r="AE36" s="174" t="str">
        <f t="shared" si="8"/>
        <v/>
      </c>
      <c r="AF36" s="175" t="str">
        <f t="shared" si="9"/>
        <v/>
      </c>
      <c r="AG36" s="176" t="str">
        <f t="shared" si="13"/>
        <v/>
      </c>
      <c r="AH36" s="177" t="str">
        <f t="shared" si="13"/>
        <v/>
      </c>
      <c r="AI36" s="178" t="str">
        <f t="shared" si="10"/>
        <v/>
      </c>
      <c r="AJ36" s="170" t="str">
        <f t="shared" si="14"/>
        <v/>
      </c>
      <c r="AK36" s="171">
        <f t="shared" si="15"/>
        <v>0</v>
      </c>
      <c r="AL36" s="127">
        <f t="shared" si="16"/>
        <v>0</v>
      </c>
      <c r="AM36" s="112" t="str">
        <f>IF(W36="","",IF($L$13=$AV$95, VLOOKUP(W36,'Criteria-Business'!$C$3:$M$104,11,FALSE),VLOOKUP(W36,'Criteria-SBP'!$C$3:$L$113,10,FALSE)))</f>
        <v/>
      </c>
      <c r="AN36" s="110">
        <f t="shared" si="11"/>
        <v>1</v>
      </c>
      <c r="AO36" s="187" t="str">
        <f t="shared" si="17"/>
        <v/>
      </c>
      <c r="AP36" s="282" t="str">
        <f t="shared" si="18"/>
        <v/>
      </c>
      <c r="AR36" s="99"/>
      <c r="AS36" s="100">
        <f>COUNTIF('Criteria-SBP'!S$3:S$4,W36)</f>
        <v>0</v>
      </c>
      <c r="BH36" s="100" t="s">
        <v>105</v>
      </c>
    </row>
    <row r="37" spans="2:60" s="100" customFormat="1" ht="15" customHeight="1" x14ac:dyDescent="0.25">
      <c r="B37" s="196">
        <v>18</v>
      </c>
      <c r="C37" s="130"/>
      <c r="D37" s="101"/>
      <c r="E37" s="131"/>
      <c r="F37" s="146" t="str">
        <f t="shared" si="0"/>
        <v/>
      </c>
      <c r="G37" s="132"/>
      <c r="H37" s="130"/>
      <c r="I37" s="133"/>
      <c r="J37" s="134"/>
      <c r="K37" s="135"/>
      <c r="L37" s="131"/>
      <c r="M37" s="131" t="s">
        <v>104</v>
      </c>
      <c r="N37" s="149" t="str">
        <f t="shared" si="1"/>
        <v/>
      </c>
      <c r="O37" s="132"/>
      <c r="P37" s="130"/>
      <c r="Q37" s="190"/>
      <c r="R37" s="193"/>
      <c r="S37" s="151" t="str">
        <f t="shared" si="19"/>
        <v/>
      </c>
      <c r="T37" s="138"/>
      <c r="U37" s="287"/>
      <c r="V37" s="153" t="str">
        <f t="shared" si="12"/>
        <v/>
      </c>
      <c r="W37" s="336"/>
      <c r="X37" s="157" t="str">
        <f>IF(W37="","",IF($L$13=$AV$95, VLOOKUP(W37,'Criteria-Business'!$C$3:$M$104,7,FALSE),VLOOKUP(W37,'Criteria-SBP'!$C$3:$L$113,7,FALSE)))</f>
        <v/>
      </c>
      <c r="Y37" s="158" t="str">
        <f>IF(W37="","","/ "&amp;IF($L$13=$AV$95, VLOOKUP(W37,'Criteria-Business'!$C$3:$M$104,8,FALSE),VLOOKUP(W37,'Criteria-SBP'!$C$3:$L$113,8,FALSE)))</f>
        <v/>
      </c>
      <c r="Z37" s="159" t="str">
        <f t="shared" si="3"/>
        <v xml:space="preserve"> </v>
      </c>
      <c r="AA37" s="158" t="str">
        <f t="shared" si="4"/>
        <v>None</v>
      </c>
      <c r="AB37" s="107">
        <f t="shared" si="5"/>
        <v>0</v>
      </c>
      <c r="AC37" s="172" t="str">
        <f t="shared" si="6"/>
        <v/>
      </c>
      <c r="AD37" s="173" t="str">
        <f t="shared" si="7"/>
        <v/>
      </c>
      <c r="AE37" s="174" t="str">
        <f t="shared" si="8"/>
        <v/>
      </c>
      <c r="AF37" s="175" t="str">
        <f t="shared" si="9"/>
        <v/>
      </c>
      <c r="AG37" s="176" t="str">
        <f t="shared" si="13"/>
        <v/>
      </c>
      <c r="AH37" s="177" t="str">
        <f t="shared" si="13"/>
        <v/>
      </c>
      <c r="AI37" s="178" t="str">
        <f t="shared" si="10"/>
        <v/>
      </c>
      <c r="AJ37" s="170" t="str">
        <f t="shared" si="14"/>
        <v/>
      </c>
      <c r="AK37" s="171">
        <f t="shared" si="15"/>
        <v>0</v>
      </c>
      <c r="AL37" s="127">
        <f t="shared" si="16"/>
        <v>0</v>
      </c>
      <c r="AM37" s="112" t="str">
        <f>IF(W37="","",IF($L$13=$AV$95, VLOOKUP(W37,'Criteria-Business'!$C$3:$M$104,11,FALSE),VLOOKUP(W37,'Criteria-SBP'!$C$3:$L$113,10,FALSE)))</f>
        <v/>
      </c>
      <c r="AN37" s="110">
        <f t="shared" si="11"/>
        <v>1</v>
      </c>
      <c r="AO37" s="187" t="str">
        <f t="shared" si="17"/>
        <v/>
      </c>
      <c r="AP37" s="282" t="str">
        <f t="shared" si="18"/>
        <v/>
      </c>
      <c r="AR37" s="99"/>
      <c r="AS37" s="100">
        <f>COUNTIF('Criteria-SBP'!S$3:S$4,W37)</f>
        <v>0</v>
      </c>
      <c r="BH37" s="100" t="s">
        <v>105</v>
      </c>
    </row>
    <row r="38" spans="2:60" s="100" customFormat="1" ht="15" customHeight="1" x14ac:dyDescent="0.25">
      <c r="B38" s="196">
        <v>19</v>
      </c>
      <c r="C38" s="130"/>
      <c r="D38" s="101"/>
      <c r="E38" s="131"/>
      <c r="F38" s="146" t="str">
        <f t="shared" si="0"/>
        <v/>
      </c>
      <c r="G38" s="132"/>
      <c r="H38" s="130"/>
      <c r="I38" s="133"/>
      <c r="J38" s="134"/>
      <c r="K38" s="135"/>
      <c r="L38" s="131"/>
      <c r="M38" s="131" t="s">
        <v>104</v>
      </c>
      <c r="N38" s="149" t="str">
        <f t="shared" si="1"/>
        <v/>
      </c>
      <c r="O38" s="132"/>
      <c r="P38" s="130"/>
      <c r="Q38" s="190"/>
      <c r="R38" s="193"/>
      <c r="S38" s="151" t="str">
        <f t="shared" si="19"/>
        <v/>
      </c>
      <c r="T38" s="138"/>
      <c r="U38" s="287"/>
      <c r="V38" s="153" t="str">
        <f t="shared" si="12"/>
        <v/>
      </c>
      <c r="W38" s="336"/>
      <c r="X38" s="157" t="str">
        <f>IF(W38="","",IF($L$13=$AV$95, VLOOKUP(W38,'Criteria-Business'!$C$3:$M$104,7,FALSE),VLOOKUP(W38,'Criteria-SBP'!$C$3:$L$113,7,FALSE)))</f>
        <v/>
      </c>
      <c r="Y38" s="158" t="str">
        <f>IF(W38="","","/ "&amp;IF($L$13=$AV$95, VLOOKUP(W38,'Criteria-Business'!$C$3:$M$104,8,FALSE),VLOOKUP(W38,'Criteria-SBP'!$C$3:$L$113,8,FALSE)))</f>
        <v/>
      </c>
      <c r="Z38" s="159" t="str">
        <f t="shared" si="3"/>
        <v xml:space="preserve"> </v>
      </c>
      <c r="AA38" s="158" t="str">
        <f t="shared" si="4"/>
        <v>None</v>
      </c>
      <c r="AB38" s="107">
        <f t="shared" si="5"/>
        <v>0</v>
      </c>
      <c r="AC38" s="172" t="str">
        <f t="shared" si="6"/>
        <v/>
      </c>
      <c r="AD38" s="173" t="str">
        <f t="shared" si="7"/>
        <v/>
      </c>
      <c r="AE38" s="174" t="str">
        <f t="shared" si="8"/>
        <v/>
      </c>
      <c r="AF38" s="175" t="str">
        <f t="shared" si="9"/>
        <v/>
      </c>
      <c r="AG38" s="176" t="str">
        <f t="shared" si="13"/>
        <v/>
      </c>
      <c r="AH38" s="177" t="str">
        <f t="shared" si="13"/>
        <v/>
      </c>
      <c r="AI38" s="178" t="str">
        <f t="shared" si="10"/>
        <v/>
      </c>
      <c r="AJ38" s="170" t="str">
        <f t="shared" si="14"/>
        <v/>
      </c>
      <c r="AK38" s="171">
        <f t="shared" si="15"/>
        <v>0</v>
      </c>
      <c r="AL38" s="127">
        <f t="shared" si="16"/>
        <v>0</v>
      </c>
      <c r="AM38" s="112" t="str">
        <f>IF(W38="","",IF($L$13=$AV$95, VLOOKUP(W38,'Criteria-Business'!$C$3:$M$104,11,FALSE),VLOOKUP(W38,'Criteria-SBP'!$C$3:$L$113,10,FALSE)))</f>
        <v/>
      </c>
      <c r="AN38" s="110">
        <f t="shared" si="11"/>
        <v>1</v>
      </c>
      <c r="AO38" s="187" t="str">
        <f t="shared" si="17"/>
        <v/>
      </c>
      <c r="AP38" s="282" t="str">
        <f t="shared" si="18"/>
        <v/>
      </c>
      <c r="AR38" s="99"/>
      <c r="AS38" s="100">
        <f>COUNTIF('Criteria-SBP'!S$3:S$4,W38)</f>
        <v>0</v>
      </c>
      <c r="BB38" s="100" t="s">
        <v>105</v>
      </c>
      <c r="BC38" s="100" t="s">
        <v>105</v>
      </c>
      <c r="BE38" s="100" t="s">
        <v>105</v>
      </c>
      <c r="BG38" s="100" t="s">
        <v>105</v>
      </c>
      <c r="BH38" s="100" t="s">
        <v>105</v>
      </c>
    </row>
    <row r="39" spans="2:60" s="100" customFormat="1" ht="15" customHeight="1" x14ac:dyDescent="0.25">
      <c r="B39" s="196">
        <v>20</v>
      </c>
      <c r="C39" s="130"/>
      <c r="D39" s="101"/>
      <c r="E39" s="131"/>
      <c r="F39" s="146" t="str">
        <f t="shared" si="0"/>
        <v/>
      </c>
      <c r="G39" s="132"/>
      <c r="H39" s="130"/>
      <c r="I39" s="133"/>
      <c r="J39" s="134"/>
      <c r="K39" s="135"/>
      <c r="L39" s="131"/>
      <c r="M39" s="131" t="s">
        <v>104</v>
      </c>
      <c r="N39" s="149" t="str">
        <f t="shared" si="1"/>
        <v/>
      </c>
      <c r="O39" s="132"/>
      <c r="P39" s="130"/>
      <c r="Q39" s="190"/>
      <c r="R39" s="193"/>
      <c r="S39" s="151" t="str">
        <f t="shared" si="19"/>
        <v/>
      </c>
      <c r="T39" s="138"/>
      <c r="U39" s="287"/>
      <c r="V39" s="153" t="str">
        <f t="shared" si="12"/>
        <v/>
      </c>
      <c r="W39" s="336"/>
      <c r="X39" s="157" t="str">
        <f>IF(W39="","",IF($L$13=$AV$95, VLOOKUP(W39,'Criteria-Business'!$C$3:$M$104,7,FALSE),VLOOKUP(W39,'Criteria-SBP'!$C$3:$L$113,7,FALSE)))</f>
        <v/>
      </c>
      <c r="Y39" s="158" t="str">
        <f>IF(W39="","","/ "&amp;IF($L$13=$AV$95, VLOOKUP(W39,'Criteria-Business'!$C$3:$M$104,8,FALSE),VLOOKUP(W39,'Criteria-SBP'!$C$3:$L$113,8,FALSE)))</f>
        <v/>
      </c>
      <c r="Z39" s="159" t="str">
        <f t="shared" si="3"/>
        <v xml:space="preserve"> </v>
      </c>
      <c r="AA39" s="158" t="str">
        <f t="shared" si="4"/>
        <v>None</v>
      </c>
      <c r="AB39" s="107">
        <f t="shared" si="5"/>
        <v>0</v>
      </c>
      <c r="AC39" s="172" t="str">
        <f t="shared" si="6"/>
        <v/>
      </c>
      <c r="AD39" s="173" t="str">
        <f t="shared" si="7"/>
        <v/>
      </c>
      <c r="AE39" s="174" t="str">
        <f t="shared" si="8"/>
        <v/>
      </c>
      <c r="AF39" s="175" t="str">
        <f t="shared" si="9"/>
        <v/>
      </c>
      <c r="AG39" s="176" t="str">
        <f t="shared" si="13"/>
        <v/>
      </c>
      <c r="AH39" s="177" t="str">
        <f t="shared" si="13"/>
        <v/>
      </c>
      <c r="AI39" s="178" t="str">
        <f t="shared" si="10"/>
        <v/>
      </c>
      <c r="AJ39" s="170" t="str">
        <f t="shared" si="14"/>
        <v/>
      </c>
      <c r="AK39" s="171">
        <f t="shared" si="15"/>
        <v>0</v>
      </c>
      <c r="AL39" s="127">
        <f t="shared" si="16"/>
        <v>0</v>
      </c>
      <c r="AM39" s="112" t="str">
        <f>IF(W39="","",IF($L$13=$AV$95, VLOOKUP(W39,'Criteria-Business'!$C$3:$M$104,11,FALSE),VLOOKUP(W39,'Criteria-SBP'!$C$3:$L$113,10,FALSE)))</f>
        <v/>
      </c>
      <c r="AN39" s="110">
        <f t="shared" si="11"/>
        <v>1</v>
      </c>
      <c r="AO39" s="187" t="str">
        <f t="shared" si="17"/>
        <v/>
      </c>
      <c r="AP39" s="282" t="str">
        <f t="shared" si="18"/>
        <v/>
      </c>
      <c r="AR39" s="99"/>
      <c r="AS39" s="100">
        <f>COUNTIF('Criteria-SBP'!S$3:S$4,W39)</f>
        <v>0</v>
      </c>
      <c r="BH39" s="100" t="s">
        <v>105</v>
      </c>
    </row>
    <row r="40" spans="2:60" s="100" customFormat="1" ht="15" customHeight="1" x14ac:dyDescent="0.25">
      <c r="B40" s="196">
        <v>21</v>
      </c>
      <c r="C40" s="130"/>
      <c r="D40" s="101"/>
      <c r="E40" s="131"/>
      <c r="F40" s="146" t="str">
        <f t="shared" si="0"/>
        <v/>
      </c>
      <c r="G40" s="132"/>
      <c r="H40" s="130"/>
      <c r="I40" s="133"/>
      <c r="J40" s="134"/>
      <c r="K40" s="135"/>
      <c r="L40" s="131"/>
      <c r="M40" s="131" t="s">
        <v>104</v>
      </c>
      <c r="N40" s="149" t="str">
        <f t="shared" si="1"/>
        <v/>
      </c>
      <c r="O40" s="132"/>
      <c r="P40" s="130"/>
      <c r="Q40" s="190"/>
      <c r="R40" s="193"/>
      <c r="S40" s="151" t="str">
        <f t="shared" si="19"/>
        <v/>
      </c>
      <c r="T40" s="138"/>
      <c r="U40" s="287"/>
      <c r="V40" s="153" t="str">
        <f t="shared" si="12"/>
        <v/>
      </c>
      <c r="W40" s="336"/>
      <c r="X40" s="157" t="str">
        <f>IF(W40="","",IF($L$13=$AV$95, VLOOKUP(W40,'Criteria-Business'!$C$3:$M$104,7,FALSE),VLOOKUP(W40,'Criteria-SBP'!$C$3:$L$113,7,FALSE)))</f>
        <v/>
      </c>
      <c r="Y40" s="158" t="str">
        <f>IF(W40="","","/ "&amp;IF($L$13=$AV$95, VLOOKUP(W40,'Criteria-Business'!$C$3:$M$104,8,FALSE),VLOOKUP(W40,'Criteria-SBP'!$C$3:$L$113,8,FALSE)))</f>
        <v/>
      </c>
      <c r="Z40" s="159" t="str">
        <f t="shared" si="3"/>
        <v xml:space="preserve"> </v>
      </c>
      <c r="AA40" s="158" t="str">
        <f t="shared" si="4"/>
        <v>None</v>
      </c>
      <c r="AB40" s="107">
        <f t="shared" si="5"/>
        <v>0</v>
      </c>
      <c r="AC40" s="172" t="str">
        <f t="shared" si="6"/>
        <v/>
      </c>
      <c r="AD40" s="173" t="str">
        <f t="shared" si="7"/>
        <v/>
      </c>
      <c r="AE40" s="174" t="str">
        <f t="shared" si="8"/>
        <v/>
      </c>
      <c r="AF40" s="175" t="str">
        <f t="shared" si="9"/>
        <v/>
      </c>
      <c r="AG40" s="176" t="str">
        <f t="shared" si="13"/>
        <v/>
      </c>
      <c r="AH40" s="177" t="str">
        <f t="shared" si="13"/>
        <v/>
      </c>
      <c r="AI40" s="178" t="str">
        <f t="shared" si="10"/>
        <v/>
      </c>
      <c r="AJ40" s="170" t="str">
        <f t="shared" si="14"/>
        <v/>
      </c>
      <c r="AK40" s="171">
        <f t="shared" si="15"/>
        <v>0</v>
      </c>
      <c r="AL40" s="127">
        <f t="shared" si="16"/>
        <v>0</v>
      </c>
      <c r="AM40" s="112" t="str">
        <f>IF(W40="","",IF($L$13=$AV$95, VLOOKUP(W40,'Criteria-Business'!$C$3:$M$104,11,FALSE),VLOOKUP(W40,'Criteria-SBP'!$C$3:$L$113,10,FALSE)))</f>
        <v/>
      </c>
      <c r="AN40" s="110">
        <f t="shared" si="11"/>
        <v>1</v>
      </c>
      <c r="AO40" s="187" t="str">
        <f t="shared" si="17"/>
        <v/>
      </c>
      <c r="AP40" s="282" t="str">
        <f t="shared" si="18"/>
        <v/>
      </c>
      <c r="AR40" s="99"/>
      <c r="AS40" s="100">
        <f>COUNTIF('Criteria-SBP'!S$3:S$4,W40)</f>
        <v>0</v>
      </c>
      <c r="BH40" s="100" t="s">
        <v>105</v>
      </c>
    </row>
    <row r="41" spans="2:60" s="100" customFormat="1" ht="15" customHeight="1" x14ac:dyDescent="0.25">
      <c r="B41" s="196">
        <v>22</v>
      </c>
      <c r="C41" s="130"/>
      <c r="D41" s="101"/>
      <c r="E41" s="131"/>
      <c r="F41" s="146" t="str">
        <f t="shared" si="0"/>
        <v/>
      </c>
      <c r="G41" s="132"/>
      <c r="H41" s="130"/>
      <c r="I41" s="133"/>
      <c r="J41" s="134"/>
      <c r="K41" s="135"/>
      <c r="L41" s="131"/>
      <c r="M41" s="131" t="s">
        <v>104</v>
      </c>
      <c r="N41" s="149" t="str">
        <f t="shared" si="1"/>
        <v/>
      </c>
      <c r="O41" s="132"/>
      <c r="P41" s="130"/>
      <c r="Q41" s="190"/>
      <c r="R41" s="193"/>
      <c r="S41" s="151" t="str">
        <f t="shared" si="19"/>
        <v/>
      </c>
      <c r="T41" s="138"/>
      <c r="U41" s="287"/>
      <c r="V41" s="153" t="str">
        <f t="shared" si="12"/>
        <v/>
      </c>
      <c r="W41" s="336"/>
      <c r="X41" s="157" t="str">
        <f>IF(W41="","",IF($L$13=$AV$95, VLOOKUP(W41,'Criteria-Business'!$C$3:$M$104,7,FALSE),VLOOKUP(W41,'Criteria-SBP'!$C$3:$L$113,7,FALSE)))</f>
        <v/>
      </c>
      <c r="Y41" s="158" t="str">
        <f>IF(W41="","","/ "&amp;IF($L$13=$AV$95, VLOOKUP(W41,'Criteria-Business'!$C$3:$M$104,8,FALSE),VLOOKUP(W41,'Criteria-SBP'!$C$3:$L$113,8,FALSE)))</f>
        <v/>
      </c>
      <c r="Z41" s="159" t="str">
        <f t="shared" si="3"/>
        <v xml:space="preserve"> </v>
      </c>
      <c r="AA41" s="158" t="str">
        <f t="shared" si="4"/>
        <v>None</v>
      </c>
      <c r="AB41" s="107">
        <f t="shared" si="5"/>
        <v>0</v>
      </c>
      <c r="AC41" s="172" t="str">
        <f t="shared" si="6"/>
        <v/>
      </c>
      <c r="AD41" s="173" t="str">
        <f t="shared" si="7"/>
        <v/>
      </c>
      <c r="AE41" s="174" t="str">
        <f t="shared" si="8"/>
        <v/>
      </c>
      <c r="AF41" s="175" t="str">
        <f t="shared" si="9"/>
        <v/>
      </c>
      <c r="AG41" s="176" t="str">
        <f t="shared" si="13"/>
        <v/>
      </c>
      <c r="AH41" s="177" t="str">
        <f t="shared" si="13"/>
        <v/>
      </c>
      <c r="AI41" s="178" t="str">
        <f t="shared" si="10"/>
        <v/>
      </c>
      <c r="AJ41" s="170" t="str">
        <f t="shared" si="14"/>
        <v/>
      </c>
      <c r="AK41" s="171">
        <f t="shared" si="15"/>
        <v>0</v>
      </c>
      <c r="AL41" s="127">
        <f t="shared" si="16"/>
        <v>0</v>
      </c>
      <c r="AM41" s="112" t="str">
        <f>IF(W41="","",IF($L$13=$AV$95, VLOOKUP(W41,'Criteria-Business'!$C$3:$M$104,11,FALSE),VLOOKUP(W41,'Criteria-SBP'!$C$3:$L$113,10,FALSE)))</f>
        <v/>
      </c>
      <c r="AN41" s="110">
        <f t="shared" si="11"/>
        <v>1</v>
      </c>
      <c r="AO41" s="187" t="str">
        <f t="shared" si="17"/>
        <v/>
      </c>
      <c r="AP41" s="282" t="str">
        <f t="shared" si="18"/>
        <v/>
      </c>
      <c r="AR41" s="99"/>
      <c r="AS41" s="100">
        <f>COUNTIF('Criteria-SBP'!S$3:S$4,W41)</f>
        <v>0</v>
      </c>
      <c r="BH41" s="100" t="s">
        <v>105</v>
      </c>
    </row>
    <row r="42" spans="2:60" s="100" customFormat="1" ht="15" customHeight="1" x14ac:dyDescent="0.25">
      <c r="B42" s="196">
        <v>23</v>
      </c>
      <c r="C42" s="130"/>
      <c r="D42" s="101"/>
      <c r="E42" s="131"/>
      <c r="F42" s="146" t="str">
        <f t="shared" si="0"/>
        <v/>
      </c>
      <c r="G42" s="132"/>
      <c r="H42" s="130"/>
      <c r="I42" s="133"/>
      <c r="J42" s="134"/>
      <c r="K42" s="135"/>
      <c r="L42" s="131"/>
      <c r="M42" s="131" t="s">
        <v>104</v>
      </c>
      <c r="N42" s="149" t="str">
        <f t="shared" si="1"/>
        <v/>
      </c>
      <c r="O42" s="132"/>
      <c r="P42" s="130"/>
      <c r="Q42" s="190"/>
      <c r="R42" s="193"/>
      <c r="S42" s="151" t="str">
        <f t="shared" si="19"/>
        <v/>
      </c>
      <c r="T42" s="138"/>
      <c r="U42" s="287"/>
      <c r="V42" s="153" t="str">
        <f t="shared" si="12"/>
        <v/>
      </c>
      <c r="W42" s="336"/>
      <c r="X42" s="157" t="str">
        <f>IF(W42="","",IF($L$13=$AV$95, VLOOKUP(W42,'Criteria-Business'!$C$3:$M$104,7,FALSE),VLOOKUP(W42,'Criteria-SBP'!$C$3:$L$113,7,FALSE)))</f>
        <v/>
      </c>
      <c r="Y42" s="158" t="str">
        <f>IF(W42="","","/ "&amp;IF($L$13=$AV$95, VLOOKUP(W42,'Criteria-Business'!$C$3:$M$104,8,FALSE),VLOOKUP(W42,'Criteria-SBP'!$C$3:$L$113,8,FALSE)))</f>
        <v/>
      </c>
      <c r="Z42" s="159" t="str">
        <f t="shared" si="3"/>
        <v xml:space="preserve"> </v>
      </c>
      <c r="AA42" s="158" t="str">
        <f t="shared" si="4"/>
        <v>None</v>
      </c>
      <c r="AB42" s="107">
        <f t="shared" si="5"/>
        <v>0</v>
      </c>
      <c r="AC42" s="172" t="str">
        <f t="shared" si="6"/>
        <v/>
      </c>
      <c r="AD42" s="173" t="str">
        <f t="shared" si="7"/>
        <v/>
      </c>
      <c r="AE42" s="174" t="str">
        <f t="shared" si="8"/>
        <v/>
      </c>
      <c r="AF42" s="175" t="str">
        <f t="shared" si="9"/>
        <v/>
      </c>
      <c r="AG42" s="176" t="str">
        <f t="shared" si="13"/>
        <v/>
      </c>
      <c r="AH42" s="177" t="str">
        <f t="shared" si="13"/>
        <v/>
      </c>
      <c r="AI42" s="178" t="str">
        <f t="shared" si="10"/>
        <v/>
      </c>
      <c r="AJ42" s="170" t="str">
        <f t="shared" si="14"/>
        <v/>
      </c>
      <c r="AK42" s="171">
        <f t="shared" si="15"/>
        <v>0</v>
      </c>
      <c r="AL42" s="127">
        <f t="shared" si="16"/>
        <v>0</v>
      </c>
      <c r="AM42" s="112" t="str">
        <f>IF(W42="","",IF($L$13=$AV$95, VLOOKUP(W42,'Criteria-Business'!$C$3:$M$104,11,FALSE),VLOOKUP(W42,'Criteria-SBP'!$C$3:$L$113,10,FALSE)))</f>
        <v/>
      </c>
      <c r="AN42" s="110">
        <f t="shared" si="11"/>
        <v>1</v>
      </c>
      <c r="AO42" s="187" t="str">
        <f t="shared" si="17"/>
        <v/>
      </c>
      <c r="AP42" s="282" t="str">
        <f t="shared" si="18"/>
        <v/>
      </c>
      <c r="AR42" s="99"/>
      <c r="AS42" s="100">
        <f>COUNTIF('Criteria-SBP'!S$3:S$4,W42)</f>
        <v>0</v>
      </c>
      <c r="BH42" s="100" t="s">
        <v>105</v>
      </c>
    </row>
    <row r="43" spans="2:60" s="100" customFormat="1" ht="15" customHeight="1" x14ac:dyDescent="0.25">
      <c r="B43" s="196">
        <v>24</v>
      </c>
      <c r="C43" s="130"/>
      <c r="D43" s="101"/>
      <c r="E43" s="131"/>
      <c r="F43" s="146" t="str">
        <f t="shared" si="0"/>
        <v/>
      </c>
      <c r="G43" s="132"/>
      <c r="H43" s="130"/>
      <c r="I43" s="133"/>
      <c r="J43" s="134"/>
      <c r="K43" s="135"/>
      <c r="L43" s="131"/>
      <c r="M43" s="131" t="s">
        <v>104</v>
      </c>
      <c r="N43" s="149" t="str">
        <f t="shared" si="1"/>
        <v/>
      </c>
      <c r="O43" s="132"/>
      <c r="P43" s="130"/>
      <c r="Q43" s="190"/>
      <c r="R43" s="193"/>
      <c r="S43" s="151" t="str">
        <f t="shared" si="19"/>
        <v/>
      </c>
      <c r="T43" s="138"/>
      <c r="U43" s="287"/>
      <c r="V43" s="153" t="str">
        <f t="shared" si="12"/>
        <v/>
      </c>
      <c r="W43" s="336"/>
      <c r="X43" s="157" t="str">
        <f>IF(W43="","",IF($L$13=$AV$95, VLOOKUP(W43,'Criteria-Business'!$C$3:$M$104,7,FALSE),VLOOKUP(W43,'Criteria-SBP'!$C$3:$L$113,7,FALSE)))</f>
        <v/>
      </c>
      <c r="Y43" s="158" t="str">
        <f>IF(W43="","","/ "&amp;IF($L$13=$AV$95, VLOOKUP(W43,'Criteria-Business'!$C$3:$M$104,8,FALSE),VLOOKUP(W43,'Criteria-SBP'!$C$3:$L$113,8,FALSE)))</f>
        <v/>
      </c>
      <c r="Z43" s="159" t="str">
        <f t="shared" si="3"/>
        <v xml:space="preserve"> </v>
      </c>
      <c r="AA43" s="158" t="str">
        <f t="shared" si="4"/>
        <v>None</v>
      </c>
      <c r="AB43" s="107">
        <f t="shared" si="5"/>
        <v>0</v>
      </c>
      <c r="AC43" s="172" t="str">
        <f t="shared" si="6"/>
        <v/>
      </c>
      <c r="AD43" s="173" t="str">
        <f t="shared" si="7"/>
        <v/>
      </c>
      <c r="AE43" s="174" t="str">
        <f t="shared" si="8"/>
        <v/>
      </c>
      <c r="AF43" s="175" t="str">
        <f t="shared" si="9"/>
        <v/>
      </c>
      <c r="AG43" s="176" t="str">
        <f t="shared" si="13"/>
        <v/>
      </c>
      <c r="AH43" s="177" t="str">
        <f t="shared" si="13"/>
        <v/>
      </c>
      <c r="AI43" s="178" t="str">
        <f t="shared" si="10"/>
        <v/>
      </c>
      <c r="AJ43" s="170" t="str">
        <f t="shared" si="14"/>
        <v/>
      </c>
      <c r="AK43" s="171">
        <f t="shared" si="15"/>
        <v>0</v>
      </c>
      <c r="AL43" s="127">
        <f t="shared" si="16"/>
        <v>0</v>
      </c>
      <c r="AM43" s="112" t="str">
        <f>IF(W43="","",IF($L$13=$AV$95, VLOOKUP(W43,'Criteria-Business'!$C$3:$M$104,11,FALSE),VLOOKUP(W43,'Criteria-SBP'!$C$3:$L$113,10,FALSE)))</f>
        <v/>
      </c>
      <c r="AN43" s="110">
        <f t="shared" si="11"/>
        <v>1</v>
      </c>
      <c r="AO43" s="187" t="str">
        <f t="shared" si="17"/>
        <v/>
      </c>
      <c r="AP43" s="282" t="str">
        <f t="shared" si="18"/>
        <v/>
      </c>
      <c r="AR43" s="99"/>
      <c r="AS43" s="100">
        <f>COUNTIF('Criteria-SBP'!S$3:S$4,W43)</f>
        <v>0</v>
      </c>
      <c r="BH43" s="100" t="s">
        <v>105</v>
      </c>
    </row>
    <row r="44" spans="2:60" s="100" customFormat="1" ht="15" customHeight="1" x14ac:dyDescent="0.25">
      <c r="B44" s="196">
        <v>25</v>
      </c>
      <c r="C44" s="130"/>
      <c r="D44" s="101"/>
      <c r="E44" s="131"/>
      <c r="F44" s="146" t="str">
        <f t="shared" si="0"/>
        <v/>
      </c>
      <c r="G44" s="132"/>
      <c r="H44" s="130"/>
      <c r="I44" s="133"/>
      <c r="J44" s="134"/>
      <c r="K44" s="135"/>
      <c r="L44" s="131"/>
      <c r="M44" s="131" t="s">
        <v>104</v>
      </c>
      <c r="N44" s="149" t="str">
        <f t="shared" si="1"/>
        <v/>
      </c>
      <c r="O44" s="132"/>
      <c r="P44" s="130"/>
      <c r="Q44" s="190"/>
      <c r="R44" s="193"/>
      <c r="S44" s="151" t="str">
        <f t="shared" si="19"/>
        <v/>
      </c>
      <c r="T44" s="138"/>
      <c r="U44" s="287"/>
      <c r="V44" s="153" t="str">
        <f t="shared" si="12"/>
        <v/>
      </c>
      <c r="W44" s="336"/>
      <c r="X44" s="157" t="str">
        <f>IF(W44="","",IF($L$13=$AV$95, VLOOKUP(W44,'Criteria-Business'!$C$3:$M$104,7,FALSE),VLOOKUP(W44,'Criteria-SBP'!$C$3:$L$113,7,FALSE)))</f>
        <v/>
      </c>
      <c r="Y44" s="158" t="str">
        <f>IF(W44="","","/ "&amp;IF($L$13=$AV$95, VLOOKUP(W44,'Criteria-Business'!$C$3:$M$104,8,FALSE),VLOOKUP(W44,'Criteria-SBP'!$C$3:$L$113,8,FALSE)))</f>
        <v/>
      </c>
      <c r="Z44" s="159" t="str">
        <f t="shared" si="3"/>
        <v xml:space="preserve"> </v>
      </c>
      <c r="AA44" s="158" t="str">
        <f t="shared" si="4"/>
        <v>None</v>
      </c>
      <c r="AB44" s="107">
        <f t="shared" si="5"/>
        <v>0</v>
      </c>
      <c r="AC44" s="172" t="str">
        <f t="shared" si="6"/>
        <v/>
      </c>
      <c r="AD44" s="173" t="str">
        <f t="shared" si="7"/>
        <v/>
      </c>
      <c r="AE44" s="174" t="str">
        <f t="shared" si="8"/>
        <v/>
      </c>
      <c r="AF44" s="175" t="str">
        <f t="shared" si="9"/>
        <v/>
      </c>
      <c r="AG44" s="176" t="str">
        <f t="shared" si="13"/>
        <v/>
      </c>
      <c r="AH44" s="177" t="str">
        <f t="shared" si="13"/>
        <v/>
      </c>
      <c r="AI44" s="178" t="str">
        <f t="shared" si="10"/>
        <v/>
      </c>
      <c r="AJ44" s="170" t="str">
        <f t="shared" si="14"/>
        <v/>
      </c>
      <c r="AK44" s="171">
        <f t="shared" si="15"/>
        <v>0</v>
      </c>
      <c r="AL44" s="127">
        <f t="shared" si="16"/>
        <v>0</v>
      </c>
      <c r="AM44" s="112" t="str">
        <f>IF(W44="","",IF($L$13=$AV$95, VLOOKUP(W44,'Criteria-Business'!$C$3:$M$104,11,FALSE),VLOOKUP(W44,'Criteria-SBP'!$C$3:$L$113,10,FALSE)))</f>
        <v/>
      </c>
      <c r="AN44" s="110">
        <f t="shared" si="11"/>
        <v>1</v>
      </c>
      <c r="AO44" s="187" t="str">
        <f t="shared" si="17"/>
        <v/>
      </c>
      <c r="AP44" s="282" t="str">
        <f t="shared" si="18"/>
        <v/>
      </c>
      <c r="AR44" s="99"/>
      <c r="AS44" s="100">
        <f>COUNTIF('Criteria-SBP'!S$3:S$4,W44)</f>
        <v>0</v>
      </c>
      <c r="BB44" s="100" t="s">
        <v>105</v>
      </c>
      <c r="BC44" s="100" t="s">
        <v>105</v>
      </c>
      <c r="BE44" s="100" t="s">
        <v>105</v>
      </c>
      <c r="BG44" s="100" t="s">
        <v>105</v>
      </c>
      <c r="BH44" s="100" t="s">
        <v>105</v>
      </c>
    </row>
    <row r="45" spans="2:60" s="100" customFormat="1" ht="15" customHeight="1" x14ac:dyDescent="0.25">
      <c r="B45" s="196">
        <v>26</v>
      </c>
      <c r="C45" s="130"/>
      <c r="D45" s="101"/>
      <c r="E45" s="131"/>
      <c r="F45" s="146" t="str">
        <f t="shared" si="0"/>
        <v/>
      </c>
      <c r="G45" s="132"/>
      <c r="H45" s="130"/>
      <c r="I45" s="133"/>
      <c r="J45" s="134"/>
      <c r="K45" s="135"/>
      <c r="L45" s="131"/>
      <c r="M45" s="131" t="s">
        <v>104</v>
      </c>
      <c r="N45" s="149" t="str">
        <f t="shared" si="1"/>
        <v/>
      </c>
      <c r="O45" s="132"/>
      <c r="P45" s="130"/>
      <c r="Q45" s="190"/>
      <c r="R45" s="193"/>
      <c r="S45" s="151" t="str">
        <f t="shared" si="19"/>
        <v/>
      </c>
      <c r="T45" s="138"/>
      <c r="U45" s="287"/>
      <c r="V45" s="153" t="str">
        <f t="shared" si="12"/>
        <v/>
      </c>
      <c r="W45" s="336"/>
      <c r="X45" s="157" t="str">
        <f>IF(W45="","",IF($L$13=$AV$95, VLOOKUP(W45,'Criteria-Business'!$C$3:$M$104,7,FALSE),VLOOKUP(W45,'Criteria-SBP'!$C$3:$L$113,7,FALSE)))</f>
        <v/>
      </c>
      <c r="Y45" s="158" t="str">
        <f>IF(W45="","","/ "&amp;IF($L$13=$AV$95, VLOOKUP(W45,'Criteria-Business'!$C$3:$M$104,8,FALSE),VLOOKUP(W45,'Criteria-SBP'!$C$3:$L$113,8,FALSE)))</f>
        <v/>
      </c>
      <c r="Z45" s="159" t="str">
        <f t="shared" si="3"/>
        <v xml:space="preserve"> </v>
      </c>
      <c r="AA45" s="158" t="str">
        <f t="shared" si="4"/>
        <v>None</v>
      </c>
      <c r="AB45" s="107">
        <f t="shared" si="5"/>
        <v>0</v>
      </c>
      <c r="AC45" s="172" t="str">
        <f t="shared" si="6"/>
        <v/>
      </c>
      <c r="AD45" s="173" t="str">
        <f t="shared" si="7"/>
        <v/>
      </c>
      <c r="AE45" s="174" t="str">
        <f t="shared" si="8"/>
        <v/>
      </c>
      <c r="AF45" s="175" t="str">
        <f t="shared" si="9"/>
        <v/>
      </c>
      <c r="AG45" s="176" t="str">
        <f t="shared" si="13"/>
        <v/>
      </c>
      <c r="AH45" s="177" t="str">
        <f t="shared" si="13"/>
        <v/>
      </c>
      <c r="AI45" s="178" t="str">
        <f t="shared" si="10"/>
        <v/>
      </c>
      <c r="AJ45" s="170" t="str">
        <f t="shared" si="14"/>
        <v/>
      </c>
      <c r="AK45" s="171">
        <f t="shared" si="15"/>
        <v>0</v>
      </c>
      <c r="AL45" s="127">
        <f t="shared" si="16"/>
        <v>0</v>
      </c>
      <c r="AM45" s="112" t="str">
        <f>IF(W45="","",IF($L$13=$AV$95, VLOOKUP(W45,'Criteria-Business'!$C$3:$M$104,11,FALSE),VLOOKUP(W45,'Criteria-SBP'!$C$3:$L$113,10,FALSE)))</f>
        <v/>
      </c>
      <c r="AN45" s="110">
        <f t="shared" si="11"/>
        <v>1</v>
      </c>
      <c r="AO45" s="187" t="str">
        <f t="shared" si="17"/>
        <v/>
      </c>
      <c r="AP45" s="282" t="str">
        <f t="shared" si="18"/>
        <v/>
      </c>
      <c r="AR45" s="99"/>
      <c r="AS45" s="100">
        <f>COUNTIF('Criteria-SBP'!S$3:S$4,W45)</f>
        <v>0</v>
      </c>
      <c r="BH45" s="100" t="s">
        <v>105</v>
      </c>
    </row>
    <row r="46" spans="2:60" s="100" customFormat="1" ht="15" customHeight="1" x14ac:dyDescent="0.25">
      <c r="B46" s="196">
        <v>27</v>
      </c>
      <c r="C46" s="130"/>
      <c r="D46" s="101"/>
      <c r="E46" s="131"/>
      <c r="F46" s="146" t="str">
        <f t="shared" si="0"/>
        <v/>
      </c>
      <c r="G46" s="132"/>
      <c r="H46" s="130"/>
      <c r="I46" s="133"/>
      <c r="J46" s="134"/>
      <c r="K46" s="135"/>
      <c r="L46" s="131"/>
      <c r="M46" s="131" t="s">
        <v>104</v>
      </c>
      <c r="N46" s="149" t="str">
        <f t="shared" si="1"/>
        <v/>
      </c>
      <c r="O46" s="132"/>
      <c r="P46" s="130"/>
      <c r="Q46" s="190"/>
      <c r="R46" s="193"/>
      <c r="S46" s="151" t="str">
        <f t="shared" si="19"/>
        <v/>
      </c>
      <c r="T46" s="138"/>
      <c r="U46" s="287"/>
      <c r="V46" s="153" t="str">
        <f t="shared" si="12"/>
        <v/>
      </c>
      <c r="W46" s="336"/>
      <c r="X46" s="157" t="str">
        <f>IF(W46="","",IF($L$13=$AV$95, VLOOKUP(W46,'Criteria-Business'!$C$3:$M$104,7,FALSE),VLOOKUP(W46,'Criteria-SBP'!$C$3:$L$113,7,FALSE)))</f>
        <v/>
      </c>
      <c r="Y46" s="158" t="str">
        <f>IF(W46="","","/ "&amp;IF($L$13=$AV$95, VLOOKUP(W46,'Criteria-Business'!$C$3:$M$104,8,FALSE),VLOOKUP(W46,'Criteria-SBP'!$C$3:$L$113,8,FALSE)))</f>
        <v/>
      </c>
      <c r="Z46" s="159" t="str">
        <f t="shared" si="3"/>
        <v xml:space="preserve"> </v>
      </c>
      <c r="AA46" s="158" t="str">
        <f t="shared" si="4"/>
        <v>None</v>
      </c>
      <c r="AB46" s="107">
        <f t="shared" si="5"/>
        <v>0</v>
      </c>
      <c r="AC46" s="172" t="str">
        <f t="shared" si="6"/>
        <v/>
      </c>
      <c r="AD46" s="173" t="str">
        <f t="shared" si="7"/>
        <v/>
      </c>
      <c r="AE46" s="174" t="str">
        <f t="shared" si="8"/>
        <v/>
      </c>
      <c r="AF46" s="175" t="str">
        <f t="shared" si="9"/>
        <v/>
      </c>
      <c r="AG46" s="176" t="str">
        <f t="shared" si="13"/>
        <v/>
      </c>
      <c r="AH46" s="177" t="str">
        <f t="shared" si="13"/>
        <v/>
      </c>
      <c r="AI46" s="178" t="str">
        <f t="shared" si="10"/>
        <v/>
      </c>
      <c r="AJ46" s="170" t="str">
        <f t="shared" si="14"/>
        <v/>
      </c>
      <c r="AK46" s="171">
        <f t="shared" si="15"/>
        <v>0</v>
      </c>
      <c r="AL46" s="127">
        <f t="shared" si="16"/>
        <v>0</v>
      </c>
      <c r="AM46" s="112" t="str">
        <f>IF(W46="","",IF($L$13=$AV$95, VLOOKUP(W46,'Criteria-Business'!$C$3:$M$104,11,FALSE),VLOOKUP(W46,'Criteria-SBP'!$C$3:$L$113,10,FALSE)))</f>
        <v/>
      </c>
      <c r="AN46" s="110">
        <f t="shared" si="11"/>
        <v>1</v>
      </c>
      <c r="AO46" s="187" t="str">
        <f t="shared" si="17"/>
        <v/>
      </c>
      <c r="AP46" s="282" t="str">
        <f t="shared" si="18"/>
        <v/>
      </c>
      <c r="AR46" s="99"/>
      <c r="AS46" s="100">
        <f>COUNTIF('Criteria-SBP'!S$3:S$4,W46)</f>
        <v>0</v>
      </c>
      <c r="BH46" s="100" t="s">
        <v>105</v>
      </c>
    </row>
    <row r="47" spans="2:60" s="100" customFormat="1" ht="15" customHeight="1" x14ac:dyDescent="0.25">
      <c r="B47" s="196">
        <v>28</v>
      </c>
      <c r="C47" s="130"/>
      <c r="D47" s="101"/>
      <c r="E47" s="131"/>
      <c r="F47" s="146" t="str">
        <f t="shared" si="0"/>
        <v/>
      </c>
      <c r="G47" s="132"/>
      <c r="H47" s="130"/>
      <c r="I47" s="133"/>
      <c r="J47" s="134"/>
      <c r="K47" s="135"/>
      <c r="L47" s="131"/>
      <c r="M47" s="131" t="s">
        <v>104</v>
      </c>
      <c r="N47" s="149" t="str">
        <f t="shared" si="1"/>
        <v/>
      </c>
      <c r="O47" s="132"/>
      <c r="P47" s="130"/>
      <c r="Q47" s="190"/>
      <c r="R47" s="193"/>
      <c r="S47" s="151" t="str">
        <f t="shared" si="19"/>
        <v/>
      </c>
      <c r="T47" s="138"/>
      <c r="U47" s="287"/>
      <c r="V47" s="153" t="str">
        <f t="shared" si="12"/>
        <v/>
      </c>
      <c r="W47" s="336"/>
      <c r="X47" s="157" t="str">
        <f>IF(W47="","",IF($L$13=$AV$95, VLOOKUP(W47,'Criteria-Business'!$C$3:$M$104,7,FALSE),VLOOKUP(W47,'Criteria-SBP'!$C$3:$L$113,7,FALSE)))</f>
        <v/>
      </c>
      <c r="Y47" s="158" t="str">
        <f>IF(W47="","","/ "&amp;IF($L$13=$AV$95, VLOOKUP(W47,'Criteria-Business'!$C$3:$M$104,8,FALSE),VLOOKUP(W47,'Criteria-SBP'!$C$3:$L$113,8,FALSE)))</f>
        <v/>
      </c>
      <c r="Z47" s="159" t="str">
        <f t="shared" si="3"/>
        <v xml:space="preserve"> </v>
      </c>
      <c r="AA47" s="158" t="str">
        <f t="shared" si="4"/>
        <v>None</v>
      </c>
      <c r="AB47" s="107">
        <f t="shared" si="5"/>
        <v>0</v>
      </c>
      <c r="AC47" s="172" t="str">
        <f t="shared" si="6"/>
        <v/>
      </c>
      <c r="AD47" s="173" t="str">
        <f t="shared" si="7"/>
        <v/>
      </c>
      <c r="AE47" s="174" t="str">
        <f t="shared" si="8"/>
        <v/>
      </c>
      <c r="AF47" s="175" t="str">
        <f t="shared" si="9"/>
        <v/>
      </c>
      <c r="AG47" s="176" t="str">
        <f t="shared" si="13"/>
        <v/>
      </c>
      <c r="AH47" s="177" t="str">
        <f t="shared" si="13"/>
        <v/>
      </c>
      <c r="AI47" s="178" t="str">
        <f t="shared" si="10"/>
        <v/>
      </c>
      <c r="AJ47" s="170" t="str">
        <f t="shared" si="14"/>
        <v/>
      </c>
      <c r="AK47" s="171">
        <f t="shared" si="15"/>
        <v>0</v>
      </c>
      <c r="AL47" s="127">
        <f t="shared" si="16"/>
        <v>0</v>
      </c>
      <c r="AM47" s="112" t="str">
        <f>IF(W47="","",IF($L$13=$AV$95, VLOOKUP(W47,'Criteria-Business'!$C$3:$M$104,11,FALSE),VLOOKUP(W47,'Criteria-SBP'!$C$3:$L$113,10,FALSE)))</f>
        <v/>
      </c>
      <c r="AN47" s="110">
        <f t="shared" si="11"/>
        <v>1</v>
      </c>
      <c r="AO47" s="187" t="str">
        <f t="shared" si="17"/>
        <v/>
      </c>
      <c r="AP47" s="282" t="str">
        <f t="shared" si="18"/>
        <v/>
      </c>
      <c r="AR47" s="99"/>
      <c r="AS47" s="100">
        <f>COUNTIF('Criteria-SBP'!S$3:S$4,W47)</f>
        <v>0</v>
      </c>
      <c r="BH47" s="100" t="s">
        <v>105</v>
      </c>
    </row>
    <row r="48" spans="2:60" s="100" customFormat="1" ht="15" customHeight="1" x14ac:dyDescent="0.25">
      <c r="B48" s="196">
        <v>29</v>
      </c>
      <c r="C48" s="130"/>
      <c r="D48" s="101"/>
      <c r="E48" s="131"/>
      <c r="F48" s="146" t="str">
        <f t="shared" si="0"/>
        <v/>
      </c>
      <c r="G48" s="132"/>
      <c r="H48" s="130"/>
      <c r="I48" s="133"/>
      <c r="J48" s="134"/>
      <c r="K48" s="135"/>
      <c r="L48" s="131"/>
      <c r="M48" s="131" t="s">
        <v>104</v>
      </c>
      <c r="N48" s="149" t="str">
        <f t="shared" si="1"/>
        <v/>
      </c>
      <c r="O48" s="132"/>
      <c r="P48" s="130"/>
      <c r="Q48" s="190"/>
      <c r="R48" s="193"/>
      <c r="S48" s="151" t="str">
        <f t="shared" si="19"/>
        <v/>
      </c>
      <c r="T48" s="138"/>
      <c r="U48" s="287"/>
      <c r="V48" s="153" t="str">
        <f t="shared" si="12"/>
        <v/>
      </c>
      <c r="W48" s="336"/>
      <c r="X48" s="157" t="str">
        <f>IF(W48="","",IF($L$13=$AV$95, VLOOKUP(W48,'Criteria-Business'!$C$3:$M$104,7,FALSE),VLOOKUP(W48,'Criteria-SBP'!$C$3:$L$113,7,FALSE)))</f>
        <v/>
      </c>
      <c r="Y48" s="158" t="str">
        <f>IF(W48="","","/ "&amp;IF($L$13=$AV$95, VLOOKUP(W48,'Criteria-Business'!$C$3:$M$104,8,FALSE),VLOOKUP(W48,'Criteria-SBP'!$C$3:$L$113,8,FALSE)))</f>
        <v/>
      </c>
      <c r="Z48" s="159" t="str">
        <f t="shared" si="3"/>
        <v xml:space="preserve"> </v>
      </c>
      <c r="AA48" s="158" t="str">
        <f t="shared" si="4"/>
        <v>None</v>
      </c>
      <c r="AB48" s="107">
        <f t="shared" si="5"/>
        <v>0</v>
      </c>
      <c r="AC48" s="172" t="str">
        <f t="shared" si="6"/>
        <v/>
      </c>
      <c r="AD48" s="173" t="str">
        <f t="shared" si="7"/>
        <v/>
      </c>
      <c r="AE48" s="174" t="str">
        <f t="shared" si="8"/>
        <v/>
      </c>
      <c r="AF48" s="175" t="str">
        <f t="shared" si="9"/>
        <v/>
      </c>
      <c r="AG48" s="176" t="str">
        <f t="shared" si="13"/>
        <v/>
      </c>
      <c r="AH48" s="177" t="str">
        <f t="shared" si="13"/>
        <v/>
      </c>
      <c r="AI48" s="178" t="str">
        <f t="shared" si="10"/>
        <v/>
      </c>
      <c r="AJ48" s="170" t="str">
        <f t="shared" si="14"/>
        <v/>
      </c>
      <c r="AK48" s="171">
        <f t="shared" si="15"/>
        <v>0</v>
      </c>
      <c r="AL48" s="127">
        <f t="shared" si="16"/>
        <v>0</v>
      </c>
      <c r="AM48" s="112" t="str">
        <f>IF(W48="","",IF($L$13=$AV$95, VLOOKUP(W48,'Criteria-Business'!$C$3:$M$104,11,FALSE),VLOOKUP(W48,'Criteria-SBP'!$C$3:$L$113,10,FALSE)))</f>
        <v/>
      </c>
      <c r="AN48" s="110">
        <f t="shared" si="11"/>
        <v>1</v>
      </c>
      <c r="AO48" s="187" t="str">
        <f t="shared" si="17"/>
        <v/>
      </c>
      <c r="AP48" s="282" t="str">
        <f t="shared" si="18"/>
        <v/>
      </c>
      <c r="AR48" s="99"/>
      <c r="AS48" s="100">
        <f>COUNTIF('Criteria-SBP'!S$3:S$4,W48)</f>
        <v>0</v>
      </c>
      <c r="BH48" s="100" t="s">
        <v>105</v>
      </c>
    </row>
    <row r="49" spans="2:60" s="100" customFormat="1" ht="15" customHeight="1" x14ac:dyDescent="0.25">
      <c r="B49" s="196">
        <v>30</v>
      </c>
      <c r="C49" s="130"/>
      <c r="D49" s="101"/>
      <c r="E49" s="131"/>
      <c r="F49" s="146" t="str">
        <f t="shared" si="0"/>
        <v/>
      </c>
      <c r="G49" s="132"/>
      <c r="H49" s="130"/>
      <c r="I49" s="133"/>
      <c r="J49" s="134"/>
      <c r="K49" s="135"/>
      <c r="L49" s="131"/>
      <c r="M49" s="131" t="s">
        <v>104</v>
      </c>
      <c r="N49" s="149" t="str">
        <f t="shared" si="1"/>
        <v/>
      </c>
      <c r="O49" s="132"/>
      <c r="P49" s="130"/>
      <c r="Q49" s="190"/>
      <c r="R49" s="193"/>
      <c r="S49" s="151" t="str">
        <f t="shared" si="19"/>
        <v/>
      </c>
      <c r="T49" s="138"/>
      <c r="U49" s="287"/>
      <c r="V49" s="153" t="str">
        <f t="shared" si="12"/>
        <v/>
      </c>
      <c r="W49" s="336"/>
      <c r="X49" s="157" t="str">
        <f>IF(W49="","",IF($L$13=$AV$95, VLOOKUP(W49,'Criteria-Business'!$C$3:$M$104,7,FALSE),VLOOKUP(W49,'Criteria-SBP'!$C$3:$L$113,7,FALSE)))</f>
        <v/>
      </c>
      <c r="Y49" s="158" t="str">
        <f>IF(W49="","","/ "&amp;IF($L$13=$AV$95, VLOOKUP(W49,'Criteria-Business'!$C$3:$M$104,8,FALSE),VLOOKUP(W49,'Criteria-SBP'!$C$3:$L$113,8,FALSE)))</f>
        <v/>
      </c>
      <c r="Z49" s="159" t="str">
        <f t="shared" si="3"/>
        <v xml:space="preserve"> </v>
      </c>
      <c r="AA49" s="158" t="str">
        <f t="shared" si="4"/>
        <v>None</v>
      </c>
      <c r="AB49" s="107">
        <f t="shared" si="5"/>
        <v>0</v>
      </c>
      <c r="AC49" s="172" t="str">
        <f t="shared" si="6"/>
        <v/>
      </c>
      <c r="AD49" s="173" t="str">
        <f t="shared" si="7"/>
        <v/>
      </c>
      <c r="AE49" s="174" t="str">
        <f t="shared" si="8"/>
        <v/>
      </c>
      <c r="AF49" s="175" t="str">
        <f t="shared" si="9"/>
        <v/>
      </c>
      <c r="AG49" s="176" t="str">
        <f t="shared" si="13"/>
        <v/>
      </c>
      <c r="AH49" s="177" t="str">
        <f t="shared" si="13"/>
        <v/>
      </c>
      <c r="AI49" s="178" t="str">
        <f t="shared" si="10"/>
        <v/>
      </c>
      <c r="AJ49" s="170" t="str">
        <f t="shared" si="14"/>
        <v/>
      </c>
      <c r="AK49" s="171">
        <f t="shared" si="15"/>
        <v>0</v>
      </c>
      <c r="AL49" s="127">
        <f t="shared" si="16"/>
        <v>0</v>
      </c>
      <c r="AM49" s="112" t="str">
        <f>IF(W49="","",IF($L$13=$AV$95, VLOOKUP(W49,'Criteria-Business'!$C$3:$M$104,11,FALSE),VLOOKUP(W49,'Criteria-SBP'!$C$3:$L$113,10,FALSE)))</f>
        <v/>
      </c>
      <c r="AN49" s="110">
        <f t="shared" si="11"/>
        <v>1</v>
      </c>
      <c r="AO49" s="187" t="str">
        <f t="shared" si="17"/>
        <v/>
      </c>
      <c r="AP49" s="282" t="str">
        <f t="shared" si="18"/>
        <v/>
      </c>
      <c r="AR49" s="99"/>
      <c r="AS49" s="100">
        <f>COUNTIF('Criteria-SBP'!S$3:S$4,W49)</f>
        <v>0</v>
      </c>
      <c r="BH49" s="100" t="s">
        <v>105</v>
      </c>
    </row>
    <row r="50" spans="2:60" s="100" customFormat="1" ht="15" customHeight="1" x14ac:dyDescent="0.25">
      <c r="B50" s="196">
        <v>31</v>
      </c>
      <c r="C50" s="130"/>
      <c r="D50" s="101"/>
      <c r="E50" s="131"/>
      <c r="F50" s="146" t="str">
        <f t="shared" si="0"/>
        <v/>
      </c>
      <c r="G50" s="132"/>
      <c r="H50" s="130"/>
      <c r="I50" s="133"/>
      <c r="J50" s="134"/>
      <c r="K50" s="135"/>
      <c r="L50" s="131"/>
      <c r="M50" s="131" t="s">
        <v>104</v>
      </c>
      <c r="N50" s="149" t="str">
        <f t="shared" si="1"/>
        <v/>
      </c>
      <c r="O50" s="132"/>
      <c r="P50" s="130"/>
      <c r="Q50" s="190"/>
      <c r="R50" s="193"/>
      <c r="S50" s="151" t="str">
        <f t="shared" si="19"/>
        <v/>
      </c>
      <c r="T50" s="138"/>
      <c r="U50" s="287"/>
      <c r="V50" s="153" t="str">
        <f t="shared" si="12"/>
        <v/>
      </c>
      <c r="W50" s="336"/>
      <c r="X50" s="157" t="str">
        <f>IF(W50="","",IF($L$13=$AV$95, VLOOKUP(W50,'Criteria-Business'!$C$3:$M$104,7,FALSE),VLOOKUP(W50,'Criteria-SBP'!$C$3:$L$113,7,FALSE)))</f>
        <v/>
      </c>
      <c r="Y50" s="158" t="str">
        <f>IF(W50="","","/ "&amp;IF($L$13=$AV$95, VLOOKUP(W50,'Criteria-Business'!$C$3:$M$104,8,FALSE),VLOOKUP(W50,'Criteria-SBP'!$C$3:$L$113,8,FALSE)))</f>
        <v/>
      </c>
      <c r="Z50" s="159" t="str">
        <f t="shared" si="3"/>
        <v xml:space="preserve"> </v>
      </c>
      <c r="AA50" s="158" t="str">
        <f t="shared" si="4"/>
        <v>None</v>
      </c>
      <c r="AB50" s="107">
        <f t="shared" si="5"/>
        <v>0</v>
      </c>
      <c r="AC50" s="172" t="str">
        <f t="shared" si="6"/>
        <v/>
      </c>
      <c r="AD50" s="173" t="str">
        <f t="shared" si="7"/>
        <v/>
      </c>
      <c r="AE50" s="174" t="str">
        <f t="shared" si="8"/>
        <v/>
      </c>
      <c r="AF50" s="175" t="str">
        <f t="shared" si="9"/>
        <v/>
      </c>
      <c r="AG50" s="176" t="str">
        <f t="shared" si="13"/>
        <v/>
      </c>
      <c r="AH50" s="177" t="str">
        <f t="shared" si="13"/>
        <v/>
      </c>
      <c r="AI50" s="178" t="str">
        <f t="shared" si="10"/>
        <v/>
      </c>
      <c r="AJ50" s="170" t="str">
        <f t="shared" si="14"/>
        <v/>
      </c>
      <c r="AK50" s="171">
        <f t="shared" si="15"/>
        <v>0</v>
      </c>
      <c r="AL50" s="127">
        <f t="shared" si="16"/>
        <v>0</v>
      </c>
      <c r="AM50" s="112" t="str">
        <f>IF(W50="","",IF($L$13=$AV$95, VLOOKUP(W50,'Criteria-Business'!$C$3:$M$104,11,FALSE),VLOOKUP(W50,'Criteria-SBP'!$C$3:$L$113,10,FALSE)))</f>
        <v/>
      </c>
      <c r="AN50" s="110">
        <f t="shared" si="11"/>
        <v>1</v>
      </c>
      <c r="AO50" s="187" t="str">
        <f t="shared" si="17"/>
        <v/>
      </c>
      <c r="AP50" s="282" t="str">
        <f t="shared" si="18"/>
        <v/>
      </c>
      <c r="AR50" s="99"/>
      <c r="AS50" s="100">
        <f>COUNTIF('Criteria-SBP'!S$3:S$4,W50)</f>
        <v>0</v>
      </c>
      <c r="BH50" s="100" t="s">
        <v>105</v>
      </c>
    </row>
    <row r="51" spans="2:60" s="100" customFormat="1" ht="15" customHeight="1" x14ac:dyDescent="0.25">
      <c r="B51" s="196">
        <v>32</v>
      </c>
      <c r="C51" s="130"/>
      <c r="D51" s="101"/>
      <c r="E51" s="131"/>
      <c r="F51" s="146" t="str">
        <f t="shared" si="0"/>
        <v/>
      </c>
      <c r="G51" s="132"/>
      <c r="H51" s="130"/>
      <c r="I51" s="133"/>
      <c r="J51" s="134"/>
      <c r="K51" s="135"/>
      <c r="L51" s="131"/>
      <c r="M51" s="131" t="s">
        <v>104</v>
      </c>
      <c r="N51" s="149" t="str">
        <f t="shared" si="1"/>
        <v/>
      </c>
      <c r="O51" s="132"/>
      <c r="P51" s="130"/>
      <c r="Q51" s="190"/>
      <c r="R51" s="193"/>
      <c r="S51" s="151" t="str">
        <f t="shared" si="19"/>
        <v/>
      </c>
      <c r="T51" s="138"/>
      <c r="U51" s="287"/>
      <c r="V51" s="153" t="str">
        <f t="shared" si="12"/>
        <v/>
      </c>
      <c r="W51" s="336"/>
      <c r="X51" s="157" t="str">
        <f>IF(W51="","",IF($L$13=$AV$95, VLOOKUP(W51,'Criteria-Business'!$C$3:$M$104,7,FALSE),VLOOKUP(W51,'Criteria-SBP'!$C$3:$L$113,7,FALSE)))</f>
        <v/>
      </c>
      <c r="Y51" s="158" t="str">
        <f>IF(W51="","","/ "&amp;IF($L$13=$AV$95, VLOOKUP(W51,'Criteria-Business'!$C$3:$M$104,8,FALSE),VLOOKUP(W51,'Criteria-SBP'!$C$3:$L$113,8,FALSE)))</f>
        <v/>
      </c>
      <c r="Z51" s="159" t="str">
        <f t="shared" si="3"/>
        <v xml:space="preserve"> </v>
      </c>
      <c r="AA51" s="158" t="str">
        <f t="shared" si="4"/>
        <v>None</v>
      </c>
      <c r="AB51" s="107">
        <f t="shared" si="5"/>
        <v>0</v>
      </c>
      <c r="AC51" s="172" t="str">
        <f t="shared" si="6"/>
        <v/>
      </c>
      <c r="AD51" s="173" t="str">
        <f t="shared" si="7"/>
        <v/>
      </c>
      <c r="AE51" s="174" t="str">
        <f t="shared" si="8"/>
        <v/>
      </c>
      <c r="AF51" s="175" t="str">
        <f t="shared" si="9"/>
        <v/>
      </c>
      <c r="AG51" s="176" t="str">
        <f t="shared" si="13"/>
        <v/>
      </c>
      <c r="AH51" s="177" t="str">
        <f t="shared" si="13"/>
        <v/>
      </c>
      <c r="AI51" s="178" t="str">
        <f t="shared" si="10"/>
        <v/>
      </c>
      <c r="AJ51" s="170" t="str">
        <f t="shared" si="14"/>
        <v/>
      </c>
      <c r="AK51" s="171">
        <f t="shared" si="15"/>
        <v>0</v>
      </c>
      <c r="AL51" s="127">
        <f t="shared" si="16"/>
        <v>0</v>
      </c>
      <c r="AM51" s="112" t="str">
        <f>IF(W51="","",IF($L$13=$AV$95, VLOOKUP(W51,'Criteria-Business'!$C$3:$M$104,11,FALSE),VLOOKUP(W51,'Criteria-SBP'!$C$3:$L$113,10,FALSE)))</f>
        <v/>
      </c>
      <c r="AN51" s="110">
        <f t="shared" si="11"/>
        <v>1</v>
      </c>
      <c r="AO51" s="187" t="str">
        <f t="shared" si="17"/>
        <v/>
      </c>
      <c r="AP51" s="282" t="str">
        <f t="shared" si="18"/>
        <v/>
      </c>
      <c r="AR51" s="99"/>
      <c r="AS51" s="100">
        <f>COUNTIF('Criteria-SBP'!S$3:S$4,W51)</f>
        <v>0</v>
      </c>
      <c r="BH51" s="100" t="s">
        <v>105</v>
      </c>
    </row>
    <row r="52" spans="2:60" s="100" customFormat="1" ht="15" customHeight="1" x14ac:dyDescent="0.25">
      <c r="B52" s="196">
        <v>33</v>
      </c>
      <c r="C52" s="130"/>
      <c r="D52" s="101"/>
      <c r="E52" s="131"/>
      <c r="F52" s="146" t="str">
        <f t="shared" ref="F52:F69" si="20">IF(E52="","",VLOOKUP(E52,$AW$174:$AX$601,2,FALSE))</f>
        <v/>
      </c>
      <c r="G52" s="132"/>
      <c r="H52" s="130"/>
      <c r="I52" s="133"/>
      <c r="J52" s="134"/>
      <c r="K52" s="135"/>
      <c r="L52" s="131"/>
      <c r="M52" s="131" t="s">
        <v>104</v>
      </c>
      <c r="N52" s="149" t="str">
        <f t="shared" ref="N52:N69" si="21">IF(L52="","",VLOOKUP(L52,$AW$174:$AX$601,2,FALSE))</f>
        <v/>
      </c>
      <c r="O52" s="132"/>
      <c r="P52" s="130"/>
      <c r="Q52" s="190"/>
      <c r="R52" s="193"/>
      <c r="S52" s="151" t="str">
        <f t="shared" si="19"/>
        <v/>
      </c>
      <c r="T52" s="138"/>
      <c r="U52" s="287"/>
      <c r="V52" s="153" t="str">
        <f t="shared" si="12"/>
        <v/>
      </c>
      <c r="W52" s="336"/>
      <c r="X52" s="157" t="str">
        <f>IF(W52="","",IF($L$13=$AV$95, VLOOKUP(W52,'Criteria-Business'!$C$3:$M$104,7,FALSE),VLOOKUP(W52,'Criteria-SBP'!$C$3:$L$113,7,FALSE)))</f>
        <v/>
      </c>
      <c r="Y52" s="158" t="str">
        <f>IF(W52="","","/ "&amp;IF($L$13=$AV$95, VLOOKUP(W52,'Criteria-Business'!$C$3:$M$104,8,FALSE),VLOOKUP(W52,'Criteria-SBP'!$C$3:$L$113,8,FALSE)))</f>
        <v/>
      </c>
      <c r="Z52" s="159" t="str">
        <f t="shared" ref="Z52:Z69" si="22">IF(M52="","",IF($L$13=$AV$95, VLOOKUP(M52,$AW$94:$BC$107,6,FALSE),VLOOKUP(M52,$AW$94:$BC$107,5,FALSE)))</f>
        <v xml:space="preserve"> </v>
      </c>
      <c r="AA52" s="158" t="str">
        <f t="shared" ref="AA52:AA69" si="23">IF(M52="","",VLOOKUP(M52,$AW$94:$BC$107,7,FALSE))</f>
        <v>None</v>
      </c>
      <c r="AB52" s="107">
        <f t="shared" ref="AB52:AB69" si="24">IFERROR(IF(M52="",0,VLOOKUP(M52,$AW$94:$BC$107,2,FALSE)),0)</f>
        <v>0</v>
      </c>
      <c r="AC52" s="172" t="str">
        <f t="shared" ref="AC52:AC69" si="25">IF(E52="","",IF(OR(G52&gt;0,F52="Enter Watts"),G52*I52/1000,F52*I52/1000))</f>
        <v/>
      </c>
      <c r="AD52" s="173" t="str">
        <f t="shared" ref="AD52:AD69" si="26">IF(E52="","",IF(OR(G52&gt;0,F52="Enter Watts"),G52*I52/1000*J52,F52*I52/1000*J52))</f>
        <v/>
      </c>
      <c r="AE52" s="174" t="str">
        <f t="shared" ref="AE52:AE69" si="27">IF(L52="","",IF(OR(O52&gt;0,N52="Enter Watts"),O52*Q52/1000,N52*Q52/1000))</f>
        <v/>
      </c>
      <c r="AF52" s="175" t="str">
        <f t="shared" ref="AF52:AF69" si="28">IF(L52="","",IF(OR(O52&gt;0,N52="Enter Watts"),O52*Q52/1000*J52*(1-AB52),N52*Q52/1000*J52*(1-AB52)))</f>
        <v/>
      </c>
      <c r="AG52" s="176" t="str">
        <f t="shared" si="13"/>
        <v/>
      </c>
      <c r="AH52" s="177" t="str">
        <f t="shared" si="13"/>
        <v/>
      </c>
      <c r="AI52" s="178" t="str">
        <f t="shared" ref="AI52:AI69" si="29">IF(AH52="","",$L$14*AH52)</f>
        <v/>
      </c>
      <c r="AJ52" s="170" t="str">
        <f t="shared" si="14"/>
        <v/>
      </c>
      <c r="AK52" s="171">
        <f t="shared" si="15"/>
        <v>0</v>
      </c>
      <c r="AL52" s="127">
        <f t="shared" si="16"/>
        <v>0</v>
      </c>
      <c r="AM52" s="112" t="str">
        <f>IF(W52="","",IF($L$13=$AV$95, VLOOKUP(W52,'Criteria-Business'!$C$3:$M$104,11,FALSE),VLOOKUP(W52,'Criteria-SBP'!$C$3:$L$113,10,FALSE)))</f>
        <v/>
      </c>
      <c r="AN52" s="110">
        <f t="shared" ref="AN52:AN69" si="30">IFERROR(IF(M52="",0,VLOOKUP(M52,$AW$94:$BC$107,3,FALSE)),0)</f>
        <v>1</v>
      </c>
      <c r="AO52" s="187" t="str">
        <f t="shared" si="17"/>
        <v/>
      </c>
      <c r="AP52" s="282" t="str">
        <f t="shared" si="18"/>
        <v/>
      </c>
      <c r="AR52" s="99"/>
      <c r="AS52" s="100">
        <f>COUNTIF('Criteria-SBP'!S$3:S$4,W52)</f>
        <v>0</v>
      </c>
      <c r="BH52" s="100" t="s">
        <v>105</v>
      </c>
    </row>
    <row r="53" spans="2:60" s="100" customFormat="1" ht="15" customHeight="1" x14ac:dyDescent="0.25">
      <c r="B53" s="196">
        <v>34</v>
      </c>
      <c r="C53" s="130"/>
      <c r="D53" s="101"/>
      <c r="E53" s="131"/>
      <c r="F53" s="146" t="str">
        <f t="shared" si="20"/>
        <v/>
      </c>
      <c r="G53" s="132"/>
      <c r="H53" s="130"/>
      <c r="I53" s="133"/>
      <c r="J53" s="134"/>
      <c r="K53" s="135"/>
      <c r="L53" s="131"/>
      <c r="M53" s="131" t="s">
        <v>104</v>
      </c>
      <c r="N53" s="149" t="str">
        <f t="shared" si="21"/>
        <v/>
      </c>
      <c r="O53" s="132"/>
      <c r="P53" s="130"/>
      <c r="Q53" s="190"/>
      <c r="R53" s="193"/>
      <c r="S53" s="151" t="str">
        <f t="shared" si="19"/>
        <v/>
      </c>
      <c r="T53" s="138"/>
      <c r="U53" s="287"/>
      <c r="V53" s="153" t="str">
        <f t="shared" si="12"/>
        <v/>
      </c>
      <c r="W53" s="336"/>
      <c r="X53" s="157" t="str">
        <f>IF(W53="","",IF($L$13=$AV$95, VLOOKUP(W53,'Criteria-Business'!$C$3:$M$104,7,FALSE),VLOOKUP(W53,'Criteria-SBP'!$C$3:$L$113,7,FALSE)))</f>
        <v/>
      </c>
      <c r="Y53" s="158" t="str">
        <f>IF(W53="","","/ "&amp;IF($L$13=$AV$95, VLOOKUP(W53,'Criteria-Business'!$C$3:$M$104,8,FALSE),VLOOKUP(W53,'Criteria-SBP'!$C$3:$L$113,8,FALSE)))</f>
        <v/>
      </c>
      <c r="Z53" s="159" t="str">
        <f t="shared" si="22"/>
        <v xml:space="preserve"> </v>
      </c>
      <c r="AA53" s="158" t="str">
        <f t="shared" si="23"/>
        <v>None</v>
      </c>
      <c r="AB53" s="107">
        <f t="shared" si="24"/>
        <v>0</v>
      </c>
      <c r="AC53" s="172" t="str">
        <f t="shared" si="25"/>
        <v/>
      </c>
      <c r="AD53" s="173" t="str">
        <f t="shared" si="26"/>
        <v/>
      </c>
      <c r="AE53" s="174" t="str">
        <f t="shared" si="27"/>
        <v/>
      </c>
      <c r="AF53" s="175" t="str">
        <f t="shared" si="28"/>
        <v/>
      </c>
      <c r="AG53" s="176" t="str">
        <f t="shared" si="13"/>
        <v/>
      </c>
      <c r="AH53" s="177" t="str">
        <f t="shared" si="13"/>
        <v/>
      </c>
      <c r="AI53" s="178" t="str">
        <f t="shared" si="29"/>
        <v/>
      </c>
      <c r="AJ53" s="170" t="str">
        <f t="shared" si="14"/>
        <v/>
      </c>
      <c r="AK53" s="171">
        <f t="shared" si="15"/>
        <v>0</v>
      </c>
      <c r="AL53" s="127">
        <f t="shared" si="16"/>
        <v>0</v>
      </c>
      <c r="AM53" s="112" t="str">
        <f>IF(W53="","",IF($L$13=$AV$95, VLOOKUP(W53,'Criteria-Business'!$C$3:$M$104,11,FALSE),VLOOKUP(W53,'Criteria-SBP'!$C$3:$L$113,10,FALSE)))</f>
        <v/>
      </c>
      <c r="AN53" s="110">
        <f t="shared" si="30"/>
        <v>1</v>
      </c>
      <c r="AO53" s="187" t="str">
        <f t="shared" si="17"/>
        <v/>
      </c>
      <c r="AP53" s="282" t="str">
        <f t="shared" si="18"/>
        <v/>
      </c>
      <c r="AR53" s="99"/>
      <c r="AS53" s="100">
        <f>COUNTIF('Criteria-SBP'!S$3:S$4,W53)</f>
        <v>0</v>
      </c>
      <c r="BH53" s="100" t="s">
        <v>105</v>
      </c>
    </row>
    <row r="54" spans="2:60" s="100" customFormat="1" ht="15" customHeight="1" x14ac:dyDescent="0.25">
      <c r="B54" s="196">
        <v>35</v>
      </c>
      <c r="C54" s="130"/>
      <c r="D54" s="101"/>
      <c r="E54" s="131"/>
      <c r="F54" s="146" t="str">
        <f t="shared" si="20"/>
        <v/>
      </c>
      <c r="G54" s="132"/>
      <c r="H54" s="130"/>
      <c r="I54" s="133"/>
      <c r="J54" s="134"/>
      <c r="K54" s="135"/>
      <c r="L54" s="131"/>
      <c r="M54" s="131" t="s">
        <v>104</v>
      </c>
      <c r="N54" s="149" t="str">
        <f t="shared" si="21"/>
        <v/>
      </c>
      <c r="O54" s="132"/>
      <c r="P54" s="130"/>
      <c r="Q54" s="190"/>
      <c r="R54" s="193"/>
      <c r="S54" s="151" t="str">
        <f t="shared" si="19"/>
        <v/>
      </c>
      <c r="T54" s="138"/>
      <c r="U54" s="287"/>
      <c r="V54" s="153" t="str">
        <f t="shared" si="12"/>
        <v/>
      </c>
      <c r="W54" s="336"/>
      <c r="X54" s="157" t="str">
        <f>IF(W54="","",IF($L$13=$AV$95, VLOOKUP(W54,'Criteria-Business'!$C$3:$M$104,7,FALSE),VLOOKUP(W54,'Criteria-SBP'!$C$3:$L$113,7,FALSE)))</f>
        <v/>
      </c>
      <c r="Y54" s="158" t="str">
        <f>IF(W54="","","/ "&amp;IF($L$13=$AV$95, VLOOKUP(W54,'Criteria-Business'!$C$3:$M$104,8,FALSE),VLOOKUP(W54,'Criteria-SBP'!$C$3:$L$113,8,FALSE)))</f>
        <v/>
      </c>
      <c r="Z54" s="159" t="str">
        <f t="shared" si="22"/>
        <v xml:space="preserve"> </v>
      </c>
      <c r="AA54" s="158" t="str">
        <f t="shared" si="23"/>
        <v>None</v>
      </c>
      <c r="AB54" s="107">
        <f t="shared" si="24"/>
        <v>0</v>
      </c>
      <c r="AC54" s="172" t="str">
        <f t="shared" si="25"/>
        <v/>
      </c>
      <c r="AD54" s="173" t="str">
        <f t="shared" si="26"/>
        <v/>
      </c>
      <c r="AE54" s="174" t="str">
        <f t="shared" si="27"/>
        <v/>
      </c>
      <c r="AF54" s="175" t="str">
        <f t="shared" si="28"/>
        <v/>
      </c>
      <c r="AG54" s="176" t="str">
        <f t="shared" si="13"/>
        <v/>
      </c>
      <c r="AH54" s="177" t="str">
        <f t="shared" si="13"/>
        <v/>
      </c>
      <c r="AI54" s="178" t="str">
        <f t="shared" si="29"/>
        <v/>
      </c>
      <c r="AJ54" s="170" t="str">
        <f t="shared" si="14"/>
        <v/>
      </c>
      <c r="AK54" s="171">
        <f t="shared" si="15"/>
        <v>0</v>
      </c>
      <c r="AL54" s="127">
        <f t="shared" si="16"/>
        <v>0</v>
      </c>
      <c r="AM54" s="112" t="str">
        <f>IF(W54="","",IF($L$13=$AV$95, VLOOKUP(W54,'Criteria-Business'!$C$3:$M$104,11,FALSE),VLOOKUP(W54,'Criteria-SBP'!$C$3:$L$113,10,FALSE)))</f>
        <v/>
      </c>
      <c r="AN54" s="110">
        <f t="shared" si="30"/>
        <v>1</v>
      </c>
      <c r="AO54" s="187" t="str">
        <f t="shared" si="17"/>
        <v/>
      </c>
      <c r="AP54" s="282" t="str">
        <f t="shared" si="18"/>
        <v/>
      </c>
      <c r="AR54" s="99"/>
      <c r="AS54" s="100">
        <f>COUNTIF('Criteria-SBP'!S$3:S$4,W54)</f>
        <v>0</v>
      </c>
      <c r="BH54" s="100" t="s">
        <v>105</v>
      </c>
    </row>
    <row r="55" spans="2:60" s="100" customFormat="1" ht="15" customHeight="1" x14ac:dyDescent="0.25">
      <c r="B55" s="196">
        <v>36</v>
      </c>
      <c r="C55" s="130"/>
      <c r="D55" s="101"/>
      <c r="E55" s="131"/>
      <c r="F55" s="146" t="str">
        <f t="shared" si="20"/>
        <v/>
      </c>
      <c r="G55" s="132"/>
      <c r="H55" s="130"/>
      <c r="I55" s="133"/>
      <c r="J55" s="134"/>
      <c r="K55" s="135"/>
      <c r="L55" s="131"/>
      <c r="M55" s="131" t="s">
        <v>104</v>
      </c>
      <c r="N55" s="149" t="str">
        <f t="shared" si="21"/>
        <v/>
      </c>
      <c r="O55" s="132"/>
      <c r="P55" s="130"/>
      <c r="Q55" s="190"/>
      <c r="R55" s="193"/>
      <c r="S55" s="151" t="str">
        <f t="shared" si="19"/>
        <v/>
      </c>
      <c r="T55" s="138"/>
      <c r="U55" s="287"/>
      <c r="V55" s="153" t="str">
        <f t="shared" si="12"/>
        <v/>
      </c>
      <c r="W55" s="336"/>
      <c r="X55" s="157" t="str">
        <f>IF(W55="","",IF($L$13=$AV$95, VLOOKUP(W55,'Criteria-Business'!$C$3:$M$104,7,FALSE),VLOOKUP(W55,'Criteria-SBP'!$C$3:$L$113,7,FALSE)))</f>
        <v/>
      </c>
      <c r="Y55" s="158" t="str">
        <f>IF(W55="","","/ "&amp;IF($L$13=$AV$95, VLOOKUP(W55,'Criteria-Business'!$C$3:$M$104,8,FALSE),VLOOKUP(W55,'Criteria-SBP'!$C$3:$L$113,8,FALSE)))</f>
        <v/>
      </c>
      <c r="Z55" s="159" t="str">
        <f t="shared" si="22"/>
        <v xml:space="preserve"> </v>
      </c>
      <c r="AA55" s="158" t="str">
        <f t="shared" si="23"/>
        <v>None</v>
      </c>
      <c r="AB55" s="107">
        <f t="shared" si="24"/>
        <v>0</v>
      </c>
      <c r="AC55" s="172" t="str">
        <f t="shared" si="25"/>
        <v/>
      </c>
      <c r="AD55" s="173" t="str">
        <f t="shared" si="26"/>
        <v/>
      </c>
      <c r="AE55" s="174" t="str">
        <f t="shared" si="27"/>
        <v/>
      </c>
      <c r="AF55" s="175" t="str">
        <f t="shared" si="28"/>
        <v/>
      </c>
      <c r="AG55" s="176" t="str">
        <f t="shared" si="13"/>
        <v/>
      </c>
      <c r="AH55" s="177" t="str">
        <f t="shared" si="13"/>
        <v/>
      </c>
      <c r="AI55" s="178" t="str">
        <f t="shared" si="29"/>
        <v/>
      </c>
      <c r="AJ55" s="170" t="str">
        <f t="shared" si="14"/>
        <v/>
      </c>
      <c r="AK55" s="171">
        <f t="shared" si="15"/>
        <v>0</v>
      </c>
      <c r="AL55" s="127">
        <f t="shared" si="16"/>
        <v>0</v>
      </c>
      <c r="AM55" s="112" t="str">
        <f>IF(W55="","",IF($L$13=$AV$95, VLOOKUP(W55,'Criteria-Business'!$C$3:$M$104,11,FALSE),VLOOKUP(W55,'Criteria-SBP'!$C$3:$L$113,10,FALSE)))</f>
        <v/>
      </c>
      <c r="AN55" s="110">
        <f t="shared" si="30"/>
        <v>1</v>
      </c>
      <c r="AO55" s="187" t="str">
        <f t="shared" si="17"/>
        <v/>
      </c>
      <c r="AP55" s="282" t="str">
        <f t="shared" si="18"/>
        <v/>
      </c>
      <c r="AR55" s="99"/>
      <c r="AS55" s="100">
        <f>COUNTIF('Criteria-SBP'!S$3:S$4,W55)</f>
        <v>0</v>
      </c>
      <c r="BH55" s="100" t="s">
        <v>105</v>
      </c>
    </row>
    <row r="56" spans="2:60" s="100" customFormat="1" ht="15" customHeight="1" x14ac:dyDescent="0.25">
      <c r="B56" s="196">
        <v>37</v>
      </c>
      <c r="C56" s="130"/>
      <c r="D56" s="101"/>
      <c r="E56" s="131"/>
      <c r="F56" s="146" t="str">
        <f t="shared" si="20"/>
        <v/>
      </c>
      <c r="G56" s="132"/>
      <c r="H56" s="130"/>
      <c r="I56" s="133"/>
      <c r="J56" s="134"/>
      <c r="K56" s="135"/>
      <c r="L56" s="131"/>
      <c r="M56" s="131" t="s">
        <v>104</v>
      </c>
      <c r="N56" s="149" t="str">
        <f t="shared" si="21"/>
        <v/>
      </c>
      <c r="O56" s="132"/>
      <c r="P56" s="130"/>
      <c r="Q56" s="190"/>
      <c r="R56" s="193"/>
      <c r="S56" s="151" t="str">
        <f t="shared" si="19"/>
        <v/>
      </c>
      <c r="T56" s="138"/>
      <c r="U56" s="287"/>
      <c r="V56" s="153" t="str">
        <f t="shared" si="12"/>
        <v/>
      </c>
      <c r="W56" s="336"/>
      <c r="X56" s="157" t="str">
        <f>IF(W56="","",IF($L$13=$AV$95, VLOOKUP(W56,'Criteria-Business'!$C$3:$M$104,7,FALSE),VLOOKUP(W56,'Criteria-SBP'!$C$3:$L$113,7,FALSE)))</f>
        <v/>
      </c>
      <c r="Y56" s="158" t="str">
        <f>IF(W56="","","/ "&amp;IF($L$13=$AV$95, VLOOKUP(W56,'Criteria-Business'!$C$3:$M$104,8,FALSE),VLOOKUP(W56,'Criteria-SBP'!$C$3:$L$113,8,FALSE)))</f>
        <v/>
      </c>
      <c r="Z56" s="159" t="str">
        <f t="shared" si="22"/>
        <v xml:space="preserve"> </v>
      </c>
      <c r="AA56" s="158" t="str">
        <f t="shared" si="23"/>
        <v>None</v>
      </c>
      <c r="AB56" s="107">
        <f t="shared" si="24"/>
        <v>0</v>
      </c>
      <c r="AC56" s="172" t="str">
        <f t="shared" si="25"/>
        <v/>
      </c>
      <c r="AD56" s="173" t="str">
        <f t="shared" si="26"/>
        <v/>
      </c>
      <c r="AE56" s="174" t="str">
        <f t="shared" si="27"/>
        <v/>
      </c>
      <c r="AF56" s="175" t="str">
        <f t="shared" si="28"/>
        <v/>
      </c>
      <c r="AG56" s="176" t="str">
        <f t="shared" si="13"/>
        <v/>
      </c>
      <c r="AH56" s="177" t="str">
        <f t="shared" si="13"/>
        <v/>
      </c>
      <c r="AI56" s="178" t="str">
        <f t="shared" si="29"/>
        <v/>
      </c>
      <c r="AJ56" s="170" t="str">
        <f t="shared" si="14"/>
        <v/>
      </c>
      <c r="AK56" s="171">
        <f t="shared" si="15"/>
        <v>0</v>
      </c>
      <c r="AL56" s="127">
        <f t="shared" si="16"/>
        <v>0</v>
      </c>
      <c r="AM56" s="112" t="str">
        <f>IF(W56="","",IF($L$13=$AV$95, VLOOKUP(W56,'Criteria-Business'!$C$3:$M$104,11,FALSE),VLOOKUP(W56,'Criteria-SBP'!$C$3:$L$113,10,FALSE)))</f>
        <v/>
      </c>
      <c r="AN56" s="110">
        <f t="shared" si="30"/>
        <v>1</v>
      </c>
      <c r="AO56" s="187" t="str">
        <f t="shared" si="17"/>
        <v/>
      </c>
      <c r="AP56" s="282" t="str">
        <f t="shared" si="18"/>
        <v/>
      </c>
      <c r="AR56" s="99"/>
      <c r="AS56" s="100">
        <f>COUNTIF('Criteria-SBP'!S$3:S$4,W56)</f>
        <v>0</v>
      </c>
      <c r="BB56" s="100" t="s">
        <v>105</v>
      </c>
      <c r="BC56" s="100" t="s">
        <v>105</v>
      </c>
      <c r="BE56" s="100" t="s">
        <v>105</v>
      </c>
      <c r="BG56" s="100" t="s">
        <v>105</v>
      </c>
      <c r="BH56" s="100" t="s">
        <v>105</v>
      </c>
    </row>
    <row r="57" spans="2:60" s="100" customFormat="1" ht="15" customHeight="1" x14ac:dyDescent="0.25">
      <c r="B57" s="196">
        <v>38</v>
      </c>
      <c r="C57" s="130"/>
      <c r="D57" s="101"/>
      <c r="E57" s="131"/>
      <c r="F57" s="146" t="str">
        <f t="shared" si="20"/>
        <v/>
      </c>
      <c r="G57" s="132"/>
      <c r="H57" s="130"/>
      <c r="I57" s="133"/>
      <c r="J57" s="134"/>
      <c r="K57" s="135"/>
      <c r="L57" s="131"/>
      <c r="M57" s="131" t="s">
        <v>104</v>
      </c>
      <c r="N57" s="149" t="str">
        <f t="shared" si="21"/>
        <v/>
      </c>
      <c r="O57" s="132"/>
      <c r="P57" s="130"/>
      <c r="Q57" s="190"/>
      <c r="R57" s="193"/>
      <c r="S57" s="151" t="str">
        <f t="shared" si="19"/>
        <v/>
      </c>
      <c r="T57" s="138"/>
      <c r="U57" s="287"/>
      <c r="V57" s="153" t="str">
        <f t="shared" si="12"/>
        <v/>
      </c>
      <c r="W57" s="336"/>
      <c r="X57" s="157" t="str">
        <f>IF(W57="","",IF($L$13=$AV$95, VLOOKUP(W57,'Criteria-Business'!$C$3:$M$104,7,FALSE),VLOOKUP(W57,'Criteria-SBP'!$C$3:$L$113,7,FALSE)))</f>
        <v/>
      </c>
      <c r="Y57" s="158" t="str">
        <f>IF(W57="","","/ "&amp;IF($L$13=$AV$95, VLOOKUP(W57,'Criteria-Business'!$C$3:$M$104,8,FALSE),VLOOKUP(W57,'Criteria-SBP'!$C$3:$L$113,8,FALSE)))</f>
        <v/>
      </c>
      <c r="Z57" s="159" t="str">
        <f t="shared" si="22"/>
        <v xml:space="preserve"> </v>
      </c>
      <c r="AA57" s="158" t="str">
        <f t="shared" si="23"/>
        <v>None</v>
      </c>
      <c r="AB57" s="107">
        <f t="shared" si="24"/>
        <v>0</v>
      </c>
      <c r="AC57" s="172" t="str">
        <f t="shared" si="25"/>
        <v/>
      </c>
      <c r="AD57" s="173" t="str">
        <f t="shared" si="26"/>
        <v/>
      </c>
      <c r="AE57" s="174" t="str">
        <f t="shared" si="27"/>
        <v/>
      </c>
      <c r="AF57" s="175" t="str">
        <f t="shared" si="28"/>
        <v/>
      </c>
      <c r="AG57" s="176" t="str">
        <f t="shared" si="13"/>
        <v/>
      </c>
      <c r="AH57" s="177" t="str">
        <f t="shared" si="13"/>
        <v/>
      </c>
      <c r="AI57" s="178" t="str">
        <f t="shared" si="29"/>
        <v/>
      </c>
      <c r="AJ57" s="170" t="str">
        <f t="shared" si="14"/>
        <v/>
      </c>
      <c r="AK57" s="171">
        <f t="shared" si="15"/>
        <v>0</v>
      </c>
      <c r="AL57" s="127">
        <f t="shared" si="16"/>
        <v>0</v>
      </c>
      <c r="AM57" s="112" t="str">
        <f>IF(W57="","",IF($L$13=$AV$95, VLOOKUP(W57,'Criteria-Business'!$C$3:$M$104,11,FALSE),VLOOKUP(W57,'Criteria-SBP'!$C$3:$L$113,10,FALSE)))</f>
        <v/>
      </c>
      <c r="AN57" s="110">
        <f t="shared" si="30"/>
        <v>1</v>
      </c>
      <c r="AO57" s="187" t="str">
        <f t="shared" si="17"/>
        <v/>
      </c>
      <c r="AP57" s="282" t="str">
        <f t="shared" si="18"/>
        <v/>
      </c>
      <c r="AR57" s="99"/>
      <c r="AS57" s="100">
        <f>COUNTIF('Criteria-SBP'!S$3:S$4,W57)</f>
        <v>0</v>
      </c>
      <c r="BH57" s="100" t="s">
        <v>105</v>
      </c>
    </row>
    <row r="58" spans="2:60" s="100" customFormat="1" ht="15" customHeight="1" x14ac:dyDescent="0.25">
      <c r="B58" s="196">
        <v>39</v>
      </c>
      <c r="C58" s="130"/>
      <c r="D58" s="101"/>
      <c r="E58" s="131"/>
      <c r="F58" s="146" t="str">
        <f t="shared" si="20"/>
        <v/>
      </c>
      <c r="G58" s="132"/>
      <c r="H58" s="130"/>
      <c r="I58" s="133"/>
      <c r="J58" s="134"/>
      <c r="K58" s="135"/>
      <c r="L58" s="131"/>
      <c r="M58" s="131" t="s">
        <v>104</v>
      </c>
      <c r="N58" s="149" t="str">
        <f t="shared" si="21"/>
        <v/>
      </c>
      <c r="O58" s="132"/>
      <c r="P58" s="130"/>
      <c r="Q58" s="190"/>
      <c r="R58" s="193"/>
      <c r="S58" s="151" t="str">
        <f t="shared" si="19"/>
        <v/>
      </c>
      <c r="T58" s="138"/>
      <c r="U58" s="287"/>
      <c r="V58" s="153" t="str">
        <f t="shared" si="12"/>
        <v/>
      </c>
      <c r="W58" s="336"/>
      <c r="X58" s="157" t="str">
        <f>IF(W58="","",IF($L$13=$AV$95, VLOOKUP(W58,'Criteria-Business'!$C$3:$M$104,7,FALSE),VLOOKUP(W58,'Criteria-SBP'!$C$3:$L$113,7,FALSE)))</f>
        <v/>
      </c>
      <c r="Y58" s="158" t="str">
        <f>IF(W58="","","/ "&amp;IF($L$13=$AV$95, VLOOKUP(W58,'Criteria-Business'!$C$3:$M$104,8,FALSE),VLOOKUP(W58,'Criteria-SBP'!$C$3:$L$113,8,FALSE)))</f>
        <v/>
      </c>
      <c r="Z58" s="159" t="str">
        <f t="shared" si="22"/>
        <v xml:space="preserve"> </v>
      </c>
      <c r="AA58" s="158" t="str">
        <f t="shared" si="23"/>
        <v>None</v>
      </c>
      <c r="AB58" s="107">
        <f t="shared" si="24"/>
        <v>0</v>
      </c>
      <c r="AC58" s="172" t="str">
        <f t="shared" si="25"/>
        <v/>
      </c>
      <c r="AD58" s="173" t="str">
        <f t="shared" si="26"/>
        <v/>
      </c>
      <c r="AE58" s="174" t="str">
        <f t="shared" si="27"/>
        <v/>
      </c>
      <c r="AF58" s="175" t="str">
        <f t="shared" si="28"/>
        <v/>
      </c>
      <c r="AG58" s="176" t="str">
        <f t="shared" si="13"/>
        <v/>
      </c>
      <c r="AH58" s="177" t="str">
        <f t="shared" si="13"/>
        <v/>
      </c>
      <c r="AI58" s="178" t="str">
        <f t="shared" si="29"/>
        <v/>
      </c>
      <c r="AJ58" s="170" t="str">
        <f t="shared" si="14"/>
        <v/>
      </c>
      <c r="AK58" s="171">
        <f t="shared" si="15"/>
        <v>0</v>
      </c>
      <c r="AL58" s="127">
        <f t="shared" si="16"/>
        <v>0</v>
      </c>
      <c r="AM58" s="112" t="str">
        <f>IF(W58="","",IF($L$13=$AV$95, VLOOKUP(W58,'Criteria-Business'!$C$3:$M$104,11,FALSE),VLOOKUP(W58,'Criteria-SBP'!$C$3:$L$113,10,FALSE)))</f>
        <v/>
      </c>
      <c r="AN58" s="110">
        <f t="shared" si="30"/>
        <v>1</v>
      </c>
      <c r="AO58" s="187" t="str">
        <f t="shared" si="17"/>
        <v/>
      </c>
      <c r="AP58" s="282" t="str">
        <f t="shared" si="18"/>
        <v/>
      </c>
      <c r="AR58" s="99"/>
      <c r="AS58" s="100">
        <f>COUNTIF('Criteria-SBP'!S$3:S$4,W58)</f>
        <v>0</v>
      </c>
      <c r="BH58" s="100" t="s">
        <v>105</v>
      </c>
    </row>
    <row r="59" spans="2:60" s="100" customFormat="1" ht="15" customHeight="1" x14ac:dyDescent="0.25">
      <c r="B59" s="196">
        <v>40</v>
      </c>
      <c r="C59" s="130"/>
      <c r="D59" s="101"/>
      <c r="E59" s="131"/>
      <c r="F59" s="146" t="str">
        <f t="shared" si="20"/>
        <v/>
      </c>
      <c r="G59" s="132"/>
      <c r="H59" s="130"/>
      <c r="I59" s="133"/>
      <c r="J59" s="134"/>
      <c r="K59" s="135"/>
      <c r="L59" s="131"/>
      <c r="M59" s="131" t="s">
        <v>104</v>
      </c>
      <c r="N59" s="149" t="str">
        <f t="shared" si="21"/>
        <v/>
      </c>
      <c r="O59" s="132"/>
      <c r="P59" s="130"/>
      <c r="Q59" s="190"/>
      <c r="R59" s="193"/>
      <c r="S59" s="151" t="str">
        <f t="shared" si="19"/>
        <v/>
      </c>
      <c r="T59" s="138"/>
      <c r="U59" s="287"/>
      <c r="V59" s="153" t="str">
        <f t="shared" si="12"/>
        <v/>
      </c>
      <c r="W59" s="336"/>
      <c r="X59" s="157" t="str">
        <f>IF(W59="","",IF($L$13=$AV$95, VLOOKUP(W59,'Criteria-Business'!$C$3:$M$104,7,FALSE),VLOOKUP(W59,'Criteria-SBP'!$C$3:$L$113,7,FALSE)))</f>
        <v/>
      </c>
      <c r="Y59" s="158" t="str">
        <f>IF(W59="","","/ "&amp;IF($L$13=$AV$95, VLOOKUP(W59,'Criteria-Business'!$C$3:$M$104,8,FALSE),VLOOKUP(W59,'Criteria-SBP'!$C$3:$L$113,8,FALSE)))</f>
        <v/>
      </c>
      <c r="Z59" s="159" t="str">
        <f t="shared" si="22"/>
        <v xml:space="preserve"> </v>
      </c>
      <c r="AA59" s="158" t="str">
        <f t="shared" si="23"/>
        <v>None</v>
      </c>
      <c r="AB59" s="107">
        <f t="shared" si="24"/>
        <v>0</v>
      </c>
      <c r="AC59" s="172" t="str">
        <f t="shared" si="25"/>
        <v/>
      </c>
      <c r="AD59" s="173" t="str">
        <f t="shared" si="26"/>
        <v/>
      </c>
      <c r="AE59" s="174" t="str">
        <f t="shared" si="27"/>
        <v/>
      </c>
      <c r="AF59" s="175" t="str">
        <f t="shared" si="28"/>
        <v/>
      </c>
      <c r="AG59" s="176" t="str">
        <f t="shared" si="13"/>
        <v/>
      </c>
      <c r="AH59" s="177" t="str">
        <f t="shared" si="13"/>
        <v/>
      </c>
      <c r="AI59" s="178" t="str">
        <f t="shared" si="29"/>
        <v/>
      </c>
      <c r="AJ59" s="170" t="str">
        <f t="shared" si="14"/>
        <v/>
      </c>
      <c r="AK59" s="171">
        <f t="shared" si="15"/>
        <v>0</v>
      </c>
      <c r="AL59" s="127">
        <f t="shared" si="16"/>
        <v>0</v>
      </c>
      <c r="AM59" s="112" t="str">
        <f>IF(W59="","",IF($L$13=$AV$95, VLOOKUP(W59,'Criteria-Business'!$C$3:$M$104,11,FALSE),VLOOKUP(W59,'Criteria-SBP'!$C$3:$L$113,10,FALSE)))</f>
        <v/>
      </c>
      <c r="AN59" s="110">
        <f t="shared" si="30"/>
        <v>1</v>
      </c>
      <c r="AO59" s="187" t="str">
        <f t="shared" si="17"/>
        <v/>
      </c>
      <c r="AP59" s="282" t="str">
        <f t="shared" si="18"/>
        <v/>
      </c>
      <c r="AR59" s="99"/>
      <c r="AS59" s="100">
        <f>COUNTIF('Criteria-SBP'!S$3:S$4,W59)</f>
        <v>0</v>
      </c>
      <c r="BH59" s="100" t="s">
        <v>105</v>
      </c>
    </row>
    <row r="60" spans="2:60" s="100" customFormat="1" ht="15" customHeight="1" x14ac:dyDescent="0.25">
      <c r="B60" s="196">
        <v>41</v>
      </c>
      <c r="C60" s="130"/>
      <c r="D60" s="101"/>
      <c r="E60" s="131"/>
      <c r="F60" s="146" t="str">
        <f t="shared" si="20"/>
        <v/>
      </c>
      <c r="G60" s="132"/>
      <c r="H60" s="130"/>
      <c r="I60" s="133"/>
      <c r="J60" s="134"/>
      <c r="K60" s="135"/>
      <c r="L60" s="131"/>
      <c r="M60" s="131" t="s">
        <v>104</v>
      </c>
      <c r="N60" s="149" t="str">
        <f t="shared" si="21"/>
        <v/>
      </c>
      <c r="O60" s="132"/>
      <c r="P60" s="130"/>
      <c r="Q60" s="190"/>
      <c r="R60" s="193"/>
      <c r="S60" s="151" t="str">
        <f t="shared" si="19"/>
        <v/>
      </c>
      <c r="T60" s="138"/>
      <c r="U60" s="287"/>
      <c r="V60" s="153" t="str">
        <f t="shared" si="12"/>
        <v/>
      </c>
      <c r="W60" s="336"/>
      <c r="X60" s="157" t="str">
        <f>IF(W60="","",IF($L$13=$AV$95, VLOOKUP(W60,'Criteria-Business'!$C$3:$M$104,7,FALSE),VLOOKUP(W60,'Criteria-SBP'!$C$3:$L$113,7,FALSE)))</f>
        <v/>
      </c>
      <c r="Y60" s="158" t="str">
        <f>IF(W60="","","/ "&amp;IF($L$13=$AV$95, VLOOKUP(W60,'Criteria-Business'!$C$3:$M$104,8,FALSE),VLOOKUP(W60,'Criteria-SBP'!$C$3:$L$113,8,FALSE)))</f>
        <v/>
      </c>
      <c r="Z60" s="159" t="str">
        <f t="shared" si="22"/>
        <v xml:space="preserve"> </v>
      </c>
      <c r="AA60" s="158" t="str">
        <f t="shared" si="23"/>
        <v>None</v>
      </c>
      <c r="AB60" s="107">
        <f t="shared" si="24"/>
        <v>0</v>
      </c>
      <c r="AC60" s="172" t="str">
        <f t="shared" si="25"/>
        <v/>
      </c>
      <c r="AD60" s="173" t="str">
        <f t="shared" si="26"/>
        <v/>
      </c>
      <c r="AE60" s="174" t="str">
        <f t="shared" si="27"/>
        <v/>
      </c>
      <c r="AF60" s="175" t="str">
        <f t="shared" si="28"/>
        <v/>
      </c>
      <c r="AG60" s="176" t="str">
        <f t="shared" si="13"/>
        <v/>
      </c>
      <c r="AH60" s="177" t="str">
        <f t="shared" si="13"/>
        <v/>
      </c>
      <c r="AI60" s="178" t="str">
        <f t="shared" si="29"/>
        <v/>
      </c>
      <c r="AJ60" s="170" t="str">
        <f t="shared" si="14"/>
        <v/>
      </c>
      <c r="AK60" s="171">
        <f t="shared" si="15"/>
        <v>0</v>
      </c>
      <c r="AL60" s="127">
        <f t="shared" si="16"/>
        <v>0</v>
      </c>
      <c r="AM60" s="112" t="str">
        <f>IF(W60="","",IF($L$13=$AV$95, VLOOKUP(W60,'Criteria-Business'!$C$3:$M$104,11,FALSE),VLOOKUP(W60,'Criteria-SBP'!$C$3:$L$113,10,FALSE)))</f>
        <v/>
      </c>
      <c r="AN60" s="110">
        <f t="shared" si="30"/>
        <v>1</v>
      </c>
      <c r="AO60" s="187" t="str">
        <f t="shared" si="17"/>
        <v/>
      </c>
      <c r="AP60" s="282" t="str">
        <f t="shared" si="18"/>
        <v/>
      </c>
      <c r="AR60" s="99"/>
      <c r="AS60" s="100">
        <f>COUNTIF('Criteria-SBP'!S$3:S$4,W60)</f>
        <v>0</v>
      </c>
      <c r="BH60" s="100" t="s">
        <v>105</v>
      </c>
    </row>
    <row r="61" spans="2:60" s="100" customFormat="1" ht="15" customHeight="1" x14ac:dyDescent="0.25">
      <c r="B61" s="196">
        <v>42</v>
      </c>
      <c r="C61" s="130"/>
      <c r="D61" s="101"/>
      <c r="E61" s="131"/>
      <c r="F61" s="146" t="str">
        <f t="shared" si="20"/>
        <v/>
      </c>
      <c r="G61" s="132"/>
      <c r="H61" s="130"/>
      <c r="I61" s="133"/>
      <c r="J61" s="134"/>
      <c r="K61" s="135"/>
      <c r="L61" s="131"/>
      <c r="M61" s="131" t="s">
        <v>104</v>
      </c>
      <c r="N61" s="149" t="str">
        <f t="shared" si="21"/>
        <v/>
      </c>
      <c r="O61" s="132"/>
      <c r="P61" s="130"/>
      <c r="Q61" s="190"/>
      <c r="R61" s="193"/>
      <c r="S61" s="151" t="str">
        <f t="shared" si="19"/>
        <v/>
      </c>
      <c r="T61" s="138"/>
      <c r="U61" s="287"/>
      <c r="V61" s="153" t="str">
        <f t="shared" si="12"/>
        <v/>
      </c>
      <c r="W61" s="336"/>
      <c r="X61" s="157" t="str">
        <f>IF(W61="","",IF($L$13=$AV$95, VLOOKUP(W61,'Criteria-Business'!$C$3:$M$104,7,FALSE),VLOOKUP(W61,'Criteria-SBP'!$C$3:$L$113,7,FALSE)))</f>
        <v/>
      </c>
      <c r="Y61" s="158" t="str">
        <f>IF(W61="","","/ "&amp;IF($L$13=$AV$95, VLOOKUP(W61,'Criteria-Business'!$C$3:$M$104,8,FALSE),VLOOKUP(W61,'Criteria-SBP'!$C$3:$L$113,8,FALSE)))</f>
        <v/>
      </c>
      <c r="Z61" s="159" t="str">
        <f t="shared" si="22"/>
        <v xml:space="preserve"> </v>
      </c>
      <c r="AA61" s="158" t="str">
        <f t="shared" si="23"/>
        <v>None</v>
      </c>
      <c r="AB61" s="107">
        <f t="shared" si="24"/>
        <v>0</v>
      </c>
      <c r="AC61" s="172" t="str">
        <f t="shared" si="25"/>
        <v/>
      </c>
      <c r="AD61" s="173" t="str">
        <f t="shared" si="26"/>
        <v/>
      </c>
      <c r="AE61" s="174" t="str">
        <f t="shared" si="27"/>
        <v/>
      </c>
      <c r="AF61" s="175" t="str">
        <f t="shared" si="28"/>
        <v/>
      </c>
      <c r="AG61" s="176" t="str">
        <f t="shared" si="13"/>
        <v/>
      </c>
      <c r="AH61" s="177" t="str">
        <f t="shared" si="13"/>
        <v/>
      </c>
      <c r="AI61" s="178" t="str">
        <f t="shared" si="29"/>
        <v/>
      </c>
      <c r="AJ61" s="170" t="str">
        <f t="shared" si="14"/>
        <v/>
      </c>
      <c r="AK61" s="171">
        <f t="shared" si="15"/>
        <v>0</v>
      </c>
      <c r="AL61" s="127">
        <f t="shared" si="16"/>
        <v>0</v>
      </c>
      <c r="AM61" s="112" t="str">
        <f>IF(W61="","",IF($L$13=$AV$95, VLOOKUP(W61,'Criteria-Business'!$C$3:$M$104,11,FALSE),VLOOKUP(W61,'Criteria-SBP'!$C$3:$L$113,10,FALSE)))</f>
        <v/>
      </c>
      <c r="AN61" s="110">
        <f t="shared" si="30"/>
        <v>1</v>
      </c>
      <c r="AO61" s="187" t="str">
        <f t="shared" si="17"/>
        <v/>
      </c>
      <c r="AP61" s="282" t="str">
        <f t="shared" si="18"/>
        <v/>
      </c>
      <c r="AR61" s="99"/>
      <c r="AS61" s="100">
        <f>COUNTIF('Criteria-SBP'!S$3:S$4,W61)</f>
        <v>0</v>
      </c>
      <c r="BH61" s="100" t="s">
        <v>105</v>
      </c>
    </row>
    <row r="62" spans="2:60" s="100" customFormat="1" ht="15" customHeight="1" x14ac:dyDescent="0.25">
      <c r="B62" s="196">
        <v>43</v>
      </c>
      <c r="C62" s="130"/>
      <c r="D62" s="101"/>
      <c r="E62" s="131"/>
      <c r="F62" s="146" t="str">
        <f t="shared" si="20"/>
        <v/>
      </c>
      <c r="G62" s="132"/>
      <c r="H62" s="130"/>
      <c r="I62" s="133"/>
      <c r="J62" s="134"/>
      <c r="K62" s="135"/>
      <c r="L62" s="131"/>
      <c r="M62" s="131" t="s">
        <v>104</v>
      </c>
      <c r="N62" s="149" t="str">
        <f t="shared" si="21"/>
        <v/>
      </c>
      <c r="O62" s="132"/>
      <c r="P62" s="130"/>
      <c r="Q62" s="190"/>
      <c r="R62" s="193"/>
      <c r="S62" s="151" t="str">
        <f t="shared" si="19"/>
        <v/>
      </c>
      <c r="T62" s="138"/>
      <c r="U62" s="287"/>
      <c r="V62" s="153" t="str">
        <f t="shared" si="12"/>
        <v/>
      </c>
      <c r="W62" s="336"/>
      <c r="X62" s="157" t="str">
        <f>IF(W62="","",IF($L$13=$AV$95, VLOOKUP(W62,'Criteria-Business'!$C$3:$M$104,7,FALSE),VLOOKUP(W62,'Criteria-SBP'!$C$3:$L$113,7,FALSE)))</f>
        <v/>
      </c>
      <c r="Y62" s="158" t="str">
        <f>IF(W62="","","/ "&amp;IF($L$13=$AV$95, VLOOKUP(W62,'Criteria-Business'!$C$3:$M$104,8,FALSE),VLOOKUP(W62,'Criteria-SBP'!$C$3:$L$113,8,FALSE)))</f>
        <v/>
      </c>
      <c r="Z62" s="159" t="str">
        <f t="shared" si="22"/>
        <v xml:space="preserve"> </v>
      </c>
      <c r="AA62" s="158" t="str">
        <f t="shared" si="23"/>
        <v>None</v>
      </c>
      <c r="AB62" s="107">
        <f t="shared" si="24"/>
        <v>0</v>
      </c>
      <c r="AC62" s="172" t="str">
        <f t="shared" si="25"/>
        <v/>
      </c>
      <c r="AD62" s="173" t="str">
        <f t="shared" si="26"/>
        <v/>
      </c>
      <c r="AE62" s="174" t="str">
        <f t="shared" si="27"/>
        <v/>
      </c>
      <c r="AF62" s="175" t="str">
        <f t="shared" si="28"/>
        <v/>
      </c>
      <c r="AG62" s="176" t="str">
        <f t="shared" si="13"/>
        <v/>
      </c>
      <c r="AH62" s="177" t="str">
        <f t="shared" si="13"/>
        <v/>
      </c>
      <c r="AI62" s="178" t="str">
        <f t="shared" si="29"/>
        <v/>
      </c>
      <c r="AJ62" s="170" t="str">
        <f t="shared" si="14"/>
        <v/>
      </c>
      <c r="AK62" s="171">
        <f t="shared" si="15"/>
        <v>0</v>
      </c>
      <c r="AL62" s="127">
        <f t="shared" si="16"/>
        <v>0</v>
      </c>
      <c r="AM62" s="112" t="str">
        <f>IF(W62="","",IF($L$13=$AV$95, VLOOKUP(W62,'Criteria-Business'!$C$3:$M$104,11,FALSE),VLOOKUP(W62,'Criteria-SBP'!$C$3:$L$113,10,FALSE)))</f>
        <v/>
      </c>
      <c r="AN62" s="110">
        <f t="shared" si="30"/>
        <v>1</v>
      </c>
      <c r="AO62" s="187" t="str">
        <f t="shared" si="17"/>
        <v/>
      </c>
      <c r="AP62" s="282" t="str">
        <f t="shared" si="18"/>
        <v/>
      </c>
      <c r="AR62" s="99"/>
      <c r="AS62" s="100">
        <f>COUNTIF('Criteria-SBP'!S$3:S$4,W62)</f>
        <v>0</v>
      </c>
      <c r="BB62" s="100" t="s">
        <v>105</v>
      </c>
      <c r="BC62" s="100" t="s">
        <v>105</v>
      </c>
      <c r="BE62" s="100" t="s">
        <v>105</v>
      </c>
      <c r="BG62" s="100" t="s">
        <v>105</v>
      </c>
      <c r="BH62" s="100" t="s">
        <v>105</v>
      </c>
    </row>
    <row r="63" spans="2:60" s="100" customFormat="1" ht="15" customHeight="1" x14ac:dyDescent="0.25">
      <c r="B63" s="196">
        <v>44</v>
      </c>
      <c r="C63" s="130"/>
      <c r="D63" s="101"/>
      <c r="E63" s="131"/>
      <c r="F63" s="146" t="str">
        <f t="shared" si="20"/>
        <v/>
      </c>
      <c r="G63" s="132"/>
      <c r="H63" s="130"/>
      <c r="I63" s="133"/>
      <c r="J63" s="134"/>
      <c r="K63" s="135"/>
      <c r="L63" s="131"/>
      <c r="M63" s="131" t="s">
        <v>104</v>
      </c>
      <c r="N63" s="149" t="str">
        <f t="shared" si="21"/>
        <v/>
      </c>
      <c r="O63" s="132"/>
      <c r="P63" s="130"/>
      <c r="Q63" s="190"/>
      <c r="R63" s="193"/>
      <c r="S63" s="151" t="str">
        <f t="shared" si="19"/>
        <v/>
      </c>
      <c r="T63" s="138"/>
      <c r="U63" s="287"/>
      <c r="V63" s="153" t="str">
        <f t="shared" si="12"/>
        <v/>
      </c>
      <c r="W63" s="336"/>
      <c r="X63" s="157" t="str">
        <f>IF(W63="","",IF($L$13=$AV$95, VLOOKUP(W63,'Criteria-Business'!$C$3:$M$104,7,FALSE),VLOOKUP(W63,'Criteria-SBP'!$C$3:$L$113,7,FALSE)))</f>
        <v/>
      </c>
      <c r="Y63" s="158" t="str">
        <f>IF(W63="","","/ "&amp;IF($L$13=$AV$95, VLOOKUP(W63,'Criteria-Business'!$C$3:$M$104,8,FALSE),VLOOKUP(W63,'Criteria-SBP'!$C$3:$L$113,8,FALSE)))</f>
        <v/>
      </c>
      <c r="Z63" s="159" t="str">
        <f t="shared" si="22"/>
        <v xml:space="preserve"> </v>
      </c>
      <c r="AA63" s="158" t="str">
        <f t="shared" si="23"/>
        <v>None</v>
      </c>
      <c r="AB63" s="107">
        <f t="shared" si="24"/>
        <v>0</v>
      </c>
      <c r="AC63" s="172" t="str">
        <f t="shared" si="25"/>
        <v/>
      </c>
      <c r="AD63" s="173" t="str">
        <f t="shared" si="26"/>
        <v/>
      </c>
      <c r="AE63" s="174" t="str">
        <f t="shared" si="27"/>
        <v/>
      </c>
      <c r="AF63" s="175" t="str">
        <f t="shared" si="28"/>
        <v/>
      </c>
      <c r="AG63" s="176" t="str">
        <f t="shared" si="13"/>
        <v/>
      </c>
      <c r="AH63" s="177" t="str">
        <f t="shared" si="13"/>
        <v/>
      </c>
      <c r="AI63" s="178" t="str">
        <f t="shared" si="29"/>
        <v/>
      </c>
      <c r="AJ63" s="170" t="str">
        <f t="shared" si="14"/>
        <v/>
      </c>
      <c r="AK63" s="171">
        <f t="shared" si="15"/>
        <v>0</v>
      </c>
      <c r="AL63" s="127">
        <f t="shared" si="16"/>
        <v>0</v>
      </c>
      <c r="AM63" s="112" t="str">
        <f>IF(W63="","",IF($L$13=$AV$95, VLOOKUP(W63,'Criteria-Business'!$C$3:$M$104,11,FALSE),VLOOKUP(W63,'Criteria-SBP'!$C$3:$L$113,10,FALSE)))</f>
        <v/>
      </c>
      <c r="AN63" s="110">
        <f t="shared" si="30"/>
        <v>1</v>
      </c>
      <c r="AO63" s="187" t="str">
        <f t="shared" si="17"/>
        <v/>
      </c>
      <c r="AP63" s="282" t="str">
        <f t="shared" si="18"/>
        <v/>
      </c>
      <c r="AR63" s="99"/>
      <c r="AS63" s="100">
        <f>COUNTIF('Criteria-SBP'!S$3:S$4,W63)</f>
        <v>0</v>
      </c>
      <c r="BH63" s="100" t="s">
        <v>105</v>
      </c>
    </row>
    <row r="64" spans="2:60" s="100" customFormat="1" ht="15" customHeight="1" x14ac:dyDescent="0.25">
      <c r="B64" s="196">
        <v>45</v>
      </c>
      <c r="C64" s="130"/>
      <c r="D64" s="101"/>
      <c r="E64" s="131"/>
      <c r="F64" s="146" t="str">
        <f t="shared" si="20"/>
        <v/>
      </c>
      <c r="G64" s="132"/>
      <c r="H64" s="130"/>
      <c r="I64" s="133"/>
      <c r="J64" s="134"/>
      <c r="K64" s="135"/>
      <c r="L64" s="131"/>
      <c r="M64" s="131" t="s">
        <v>104</v>
      </c>
      <c r="N64" s="149" t="str">
        <f t="shared" si="21"/>
        <v/>
      </c>
      <c r="O64" s="132"/>
      <c r="P64" s="130"/>
      <c r="Q64" s="190"/>
      <c r="R64" s="193"/>
      <c r="S64" s="151" t="str">
        <f t="shared" si="19"/>
        <v/>
      </c>
      <c r="T64" s="138"/>
      <c r="U64" s="287"/>
      <c r="V64" s="153" t="str">
        <f t="shared" si="12"/>
        <v/>
      </c>
      <c r="W64" s="336"/>
      <c r="X64" s="157" t="str">
        <f>IF(W64="","",IF($L$13=$AV$95, VLOOKUP(W64,'Criteria-Business'!$C$3:$M$104,7,FALSE),VLOOKUP(W64,'Criteria-SBP'!$C$3:$L$113,7,FALSE)))</f>
        <v/>
      </c>
      <c r="Y64" s="158" t="str">
        <f>IF(W64="","","/ "&amp;IF($L$13=$AV$95, VLOOKUP(W64,'Criteria-Business'!$C$3:$M$104,8,FALSE),VLOOKUP(W64,'Criteria-SBP'!$C$3:$L$113,8,FALSE)))</f>
        <v/>
      </c>
      <c r="Z64" s="159" t="str">
        <f t="shared" si="22"/>
        <v xml:space="preserve"> </v>
      </c>
      <c r="AA64" s="158" t="str">
        <f t="shared" si="23"/>
        <v>None</v>
      </c>
      <c r="AB64" s="107">
        <f t="shared" si="24"/>
        <v>0</v>
      </c>
      <c r="AC64" s="172" t="str">
        <f t="shared" si="25"/>
        <v/>
      </c>
      <c r="AD64" s="173" t="str">
        <f t="shared" si="26"/>
        <v/>
      </c>
      <c r="AE64" s="174" t="str">
        <f t="shared" si="27"/>
        <v/>
      </c>
      <c r="AF64" s="175" t="str">
        <f t="shared" si="28"/>
        <v/>
      </c>
      <c r="AG64" s="176" t="str">
        <f t="shared" si="13"/>
        <v/>
      </c>
      <c r="AH64" s="177" t="str">
        <f t="shared" si="13"/>
        <v/>
      </c>
      <c r="AI64" s="178" t="str">
        <f t="shared" si="29"/>
        <v/>
      </c>
      <c r="AJ64" s="170" t="str">
        <f t="shared" si="14"/>
        <v/>
      </c>
      <c r="AK64" s="171">
        <f t="shared" si="15"/>
        <v>0</v>
      </c>
      <c r="AL64" s="127">
        <f t="shared" si="16"/>
        <v>0</v>
      </c>
      <c r="AM64" s="112" t="str">
        <f>IF(W64="","",IF($L$13=$AV$95, VLOOKUP(W64,'Criteria-Business'!$C$3:$M$104,11,FALSE),VLOOKUP(W64,'Criteria-SBP'!$C$3:$L$113,10,FALSE)))</f>
        <v/>
      </c>
      <c r="AN64" s="110">
        <f t="shared" si="30"/>
        <v>1</v>
      </c>
      <c r="AO64" s="187" t="str">
        <f t="shared" si="17"/>
        <v/>
      </c>
      <c r="AP64" s="282" t="str">
        <f t="shared" si="18"/>
        <v/>
      </c>
      <c r="AR64" s="99"/>
      <c r="AS64" s="100">
        <f>COUNTIF('Criteria-SBP'!S$3:S$4,W64)</f>
        <v>0</v>
      </c>
      <c r="BH64" s="100" t="s">
        <v>105</v>
      </c>
    </row>
    <row r="65" spans="2:60" s="100" customFormat="1" ht="15" customHeight="1" x14ac:dyDescent="0.25">
      <c r="B65" s="196">
        <v>46</v>
      </c>
      <c r="C65" s="130"/>
      <c r="D65" s="101"/>
      <c r="E65" s="131"/>
      <c r="F65" s="146" t="str">
        <f t="shared" si="20"/>
        <v/>
      </c>
      <c r="G65" s="132"/>
      <c r="H65" s="130"/>
      <c r="I65" s="133"/>
      <c r="J65" s="134"/>
      <c r="K65" s="135"/>
      <c r="L65" s="131"/>
      <c r="M65" s="131" t="s">
        <v>104</v>
      </c>
      <c r="N65" s="149" t="str">
        <f t="shared" si="21"/>
        <v/>
      </c>
      <c r="O65" s="132"/>
      <c r="P65" s="130"/>
      <c r="Q65" s="190"/>
      <c r="R65" s="193"/>
      <c r="S65" s="151" t="str">
        <f t="shared" si="19"/>
        <v/>
      </c>
      <c r="T65" s="138"/>
      <c r="U65" s="287"/>
      <c r="V65" s="153" t="str">
        <f t="shared" si="12"/>
        <v/>
      </c>
      <c r="W65" s="336"/>
      <c r="X65" s="157" t="str">
        <f>IF(W65="","",IF($L$13=$AV$95, VLOOKUP(W65,'Criteria-Business'!$C$3:$M$104,7,FALSE),VLOOKUP(W65,'Criteria-SBP'!$C$3:$L$113,7,FALSE)))</f>
        <v/>
      </c>
      <c r="Y65" s="158" t="str">
        <f>IF(W65="","","/ "&amp;IF($L$13=$AV$95, VLOOKUP(W65,'Criteria-Business'!$C$3:$M$104,8,FALSE),VLOOKUP(W65,'Criteria-SBP'!$C$3:$L$113,8,FALSE)))</f>
        <v/>
      </c>
      <c r="Z65" s="159" t="str">
        <f t="shared" si="22"/>
        <v xml:space="preserve"> </v>
      </c>
      <c r="AA65" s="158" t="str">
        <f t="shared" si="23"/>
        <v>None</v>
      </c>
      <c r="AB65" s="107">
        <f t="shared" si="24"/>
        <v>0</v>
      </c>
      <c r="AC65" s="172" t="str">
        <f t="shared" si="25"/>
        <v/>
      </c>
      <c r="AD65" s="173" t="str">
        <f t="shared" si="26"/>
        <v/>
      </c>
      <c r="AE65" s="174" t="str">
        <f t="shared" si="27"/>
        <v/>
      </c>
      <c r="AF65" s="175" t="str">
        <f t="shared" si="28"/>
        <v/>
      </c>
      <c r="AG65" s="176" t="str">
        <f t="shared" si="13"/>
        <v/>
      </c>
      <c r="AH65" s="177" t="str">
        <f t="shared" si="13"/>
        <v/>
      </c>
      <c r="AI65" s="178" t="str">
        <f t="shared" si="29"/>
        <v/>
      </c>
      <c r="AJ65" s="170" t="str">
        <f t="shared" si="14"/>
        <v/>
      </c>
      <c r="AK65" s="171">
        <f t="shared" si="15"/>
        <v>0</v>
      </c>
      <c r="AL65" s="127">
        <f t="shared" si="16"/>
        <v>0</v>
      </c>
      <c r="AM65" s="112" t="str">
        <f>IF(W65="","",IF($L$13=$AV$95, VLOOKUP(W65,'Criteria-Business'!$C$3:$M$104,11,FALSE),VLOOKUP(W65,'Criteria-SBP'!$C$3:$L$113,10,FALSE)))</f>
        <v/>
      </c>
      <c r="AN65" s="110">
        <f t="shared" si="30"/>
        <v>1</v>
      </c>
      <c r="AO65" s="187" t="str">
        <f t="shared" si="17"/>
        <v/>
      </c>
      <c r="AP65" s="282" t="str">
        <f t="shared" si="18"/>
        <v/>
      </c>
      <c r="AR65" s="99"/>
      <c r="AS65" s="100">
        <f>COUNTIF('Criteria-SBP'!S$3:S$4,W65)</f>
        <v>0</v>
      </c>
      <c r="BH65" s="100" t="s">
        <v>105</v>
      </c>
    </row>
    <row r="66" spans="2:60" s="100" customFormat="1" ht="15" customHeight="1" x14ac:dyDescent="0.25">
      <c r="B66" s="196">
        <v>47</v>
      </c>
      <c r="C66" s="130"/>
      <c r="D66" s="101"/>
      <c r="E66" s="131"/>
      <c r="F66" s="146" t="str">
        <f t="shared" si="20"/>
        <v/>
      </c>
      <c r="G66" s="132"/>
      <c r="H66" s="130"/>
      <c r="I66" s="133"/>
      <c r="J66" s="134"/>
      <c r="K66" s="135"/>
      <c r="L66" s="131"/>
      <c r="M66" s="131" t="s">
        <v>104</v>
      </c>
      <c r="N66" s="149" t="str">
        <f t="shared" si="21"/>
        <v/>
      </c>
      <c r="O66" s="132"/>
      <c r="P66" s="130"/>
      <c r="Q66" s="190"/>
      <c r="R66" s="193"/>
      <c r="S66" s="151" t="str">
        <f t="shared" si="19"/>
        <v/>
      </c>
      <c r="T66" s="138"/>
      <c r="U66" s="287"/>
      <c r="V66" s="153" t="str">
        <f t="shared" si="12"/>
        <v/>
      </c>
      <c r="W66" s="336"/>
      <c r="X66" s="157" t="str">
        <f>IF(W66="","",IF($L$13=$AV$95, VLOOKUP(W66,'Criteria-Business'!$C$3:$M$104,7,FALSE),VLOOKUP(W66,'Criteria-SBP'!$C$3:$L$113,7,FALSE)))</f>
        <v/>
      </c>
      <c r="Y66" s="158" t="str">
        <f>IF(W66="","","/ "&amp;IF($L$13=$AV$95, VLOOKUP(W66,'Criteria-Business'!$C$3:$M$104,8,FALSE),VLOOKUP(W66,'Criteria-SBP'!$C$3:$L$113,8,FALSE)))</f>
        <v/>
      </c>
      <c r="Z66" s="159" t="str">
        <f t="shared" si="22"/>
        <v xml:space="preserve"> </v>
      </c>
      <c r="AA66" s="158" t="str">
        <f t="shared" si="23"/>
        <v>None</v>
      </c>
      <c r="AB66" s="107">
        <f t="shared" si="24"/>
        <v>0</v>
      </c>
      <c r="AC66" s="172" t="str">
        <f t="shared" si="25"/>
        <v/>
      </c>
      <c r="AD66" s="173" t="str">
        <f t="shared" si="26"/>
        <v/>
      </c>
      <c r="AE66" s="174" t="str">
        <f t="shared" si="27"/>
        <v/>
      </c>
      <c r="AF66" s="175" t="str">
        <f t="shared" si="28"/>
        <v/>
      </c>
      <c r="AG66" s="176" t="str">
        <f t="shared" si="13"/>
        <v/>
      </c>
      <c r="AH66" s="177" t="str">
        <f t="shared" si="13"/>
        <v/>
      </c>
      <c r="AI66" s="178" t="str">
        <f t="shared" si="29"/>
        <v/>
      </c>
      <c r="AJ66" s="170" t="str">
        <f t="shared" si="14"/>
        <v/>
      </c>
      <c r="AK66" s="171">
        <f t="shared" si="15"/>
        <v>0</v>
      </c>
      <c r="AL66" s="127">
        <f t="shared" si="16"/>
        <v>0</v>
      </c>
      <c r="AM66" s="112" t="str">
        <f>IF(W66="","",IF($L$13=$AV$95, VLOOKUP(W66,'Criteria-Business'!$C$3:$M$104,11,FALSE),VLOOKUP(W66,'Criteria-SBP'!$C$3:$L$113,10,FALSE)))</f>
        <v/>
      </c>
      <c r="AN66" s="110">
        <f t="shared" si="30"/>
        <v>1</v>
      </c>
      <c r="AO66" s="187" t="str">
        <f t="shared" si="17"/>
        <v/>
      </c>
      <c r="AP66" s="282" t="str">
        <f t="shared" si="18"/>
        <v/>
      </c>
      <c r="AR66" s="99"/>
      <c r="AS66" s="100">
        <f>COUNTIF('Criteria-SBP'!S$3:S$4,W66)</f>
        <v>0</v>
      </c>
      <c r="BH66" s="100" t="s">
        <v>105</v>
      </c>
    </row>
    <row r="67" spans="2:60" s="100" customFormat="1" ht="15" customHeight="1" x14ac:dyDescent="0.25">
      <c r="B67" s="196">
        <v>48</v>
      </c>
      <c r="C67" s="130"/>
      <c r="D67" s="101"/>
      <c r="E67" s="131"/>
      <c r="F67" s="146" t="str">
        <f t="shared" si="20"/>
        <v/>
      </c>
      <c r="G67" s="132"/>
      <c r="H67" s="130"/>
      <c r="I67" s="133"/>
      <c r="J67" s="134"/>
      <c r="K67" s="135"/>
      <c r="L67" s="131"/>
      <c r="M67" s="131" t="s">
        <v>104</v>
      </c>
      <c r="N67" s="149" t="str">
        <f t="shared" si="21"/>
        <v/>
      </c>
      <c r="O67" s="132"/>
      <c r="P67" s="130"/>
      <c r="Q67" s="190"/>
      <c r="R67" s="193"/>
      <c r="S67" s="151" t="str">
        <f t="shared" si="19"/>
        <v/>
      </c>
      <c r="T67" s="138"/>
      <c r="U67" s="287"/>
      <c r="V67" s="153" t="str">
        <f t="shared" si="12"/>
        <v/>
      </c>
      <c r="W67" s="336"/>
      <c r="X67" s="157" t="str">
        <f>IF(W67="","",IF($L$13=$AV$95, VLOOKUP(W67,'Criteria-Business'!$C$3:$M$104,7,FALSE),VLOOKUP(W67,'Criteria-SBP'!$C$3:$L$113,7,FALSE)))</f>
        <v/>
      </c>
      <c r="Y67" s="158" t="str">
        <f>IF(W67="","","/ "&amp;IF($L$13=$AV$95, VLOOKUP(W67,'Criteria-Business'!$C$3:$M$104,8,FALSE),VLOOKUP(W67,'Criteria-SBP'!$C$3:$L$113,8,FALSE)))</f>
        <v/>
      </c>
      <c r="Z67" s="159" t="str">
        <f t="shared" si="22"/>
        <v xml:space="preserve"> </v>
      </c>
      <c r="AA67" s="158" t="str">
        <f t="shared" si="23"/>
        <v>None</v>
      </c>
      <c r="AB67" s="107">
        <f t="shared" si="24"/>
        <v>0</v>
      </c>
      <c r="AC67" s="172" t="str">
        <f t="shared" si="25"/>
        <v/>
      </c>
      <c r="AD67" s="173" t="str">
        <f t="shared" si="26"/>
        <v/>
      </c>
      <c r="AE67" s="174" t="str">
        <f t="shared" si="27"/>
        <v/>
      </c>
      <c r="AF67" s="175" t="str">
        <f t="shared" si="28"/>
        <v/>
      </c>
      <c r="AG67" s="176" t="str">
        <f t="shared" si="13"/>
        <v/>
      </c>
      <c r="AH67" s="177" t="str">
        <f t="shared" si="13"/>
        <v/>
      </c>
      <c r="AI67" s="178" t="str">
        <f t="shared" si="29"/>
        <v/>
      </c>
      <c r="AJ67" s="170" t="str">
        <f t="shared" si="14"/>
        <v/>
      </c>
      <c r="AK67" s="171">
        <f t="shared" si="15"/>
        <v>0</v>
      </c>
      <c r="AL67" s="127">
        <f t="shared" si="16"/>
        <v>0</v>
      </c>
      <c r="AM67" s="112" t="str">
        <f>IF(W67="","",IF($L$13=$AV$95, VLOOKUP(W67,'Criteria-Business'!$C$3:$M$104,11,FALSE),VLOOKUP(W67,'Criteria-SBP'!$C$3:$L$113,10,FALSE)))</f>
        <v/>
      </c>
      <c r="AN67" s="110">
        <f t="shared" si="30"/>
        <v>1</v>
      </c>
      <c r="AO67" s="187" t="str">
        <f t="shared" si="17"/>
        <v/>
      </c>
      <c r="AP67" s="282" t="str">
        <f t="shared" si="18"/>
        <v/>
      </c>
      <c r="AR67" s="99"/>
      <c r="AS67" s="100">
        <f>COUNTIF('Criteria-SBP'!S$3:S$4,W67)</f>
        <v>0</v>
      </c>
      <c r="BH67" s="100" t="s">
        <v>105</v>
      </c>
    </row>
    <row r="68" spans="2:60" s="100" customFormat="1" ht="15" customHeight="1" x14ac:dyDescent="0.25">
      <c r="B68" s="196">
        <v>49</v>
      </c>
      <c r="C68" s="130"/>
      <c r="D68" s="101"/>
      <c r="E68" s="131"/>
      <c r="F68" s="146" t="str">
        <f t="shared" si="20"/>
        <v/>
      </c>
      <c r="G68" s="132"/>
      <c r="H68" s="130"/>
      <c r="I68" s="133"/>
      <c r="J68" s="134"/>
      <c r="K68" s="135"/>
      <c r="L68" s="131"/>
      <c r="M68" s="131" t="s">
        <v>104</v>
      </c>
      <c r="N68" s="149" t="str">
        <f t="shared" si="21"/>
        <v/>
      </c>
      <c r="O68" s="132"/>
      <c r="P68" s="130"/>
      <c r="Q68" s="190"/>
      <c r="R68" s="193"/>
      <c r="S68" s="151" t="str">
        <f t="shared" si="19"/>
        <v/>
      </c>
      <c r="T68" s="138"/>
      <c r="U68" s="287"/>
      <c r="V68" s="153" t="str">
        <f t="shared" si="12"/>
        <v/>
      </c>
      <c r="W68" s="336"/>
      <c r="X68" s="355" t="str">
        <f>IF(W68="","",IF($L$13=$AV$95, VLOOKUP(W68,'Criteria-Business'!$C$3:$M$104,7,FALSE),VLOOKUP(W68,'Criteria-SBP'!$C$3:$L$113,7,FALSE)))</f>
        <v/>
      </c>
      <c r="Y68" s="356" t="str">
        <f>IF(W68="","","/ "&amp;IF($L$13=$AV$95, VLOOKUP(W68,'Criteria-Business'!$C$3:$M$104,8,FALSE),VLOOKUP(W68,'Criteria-SBP'!$C$3:$L$113,8,FALSE)))</f>
        <v/>
      </c>
      <c r="Z68" s="159" t="str">
        <f t="shared" si="22"/>
        <v xml:space="preserve"> </v>
      </c>
      <c r="AA68" s="158" t="str">
        <f t="shared" si="23"/>
        <v>None</v>
      </c>
      <c r="AB68" s="107">
        <f t="shared" si="24"/>
        <v>0</v>
      </c>
      <c r="AC68" s="172" t="str">
        <f t="shared" si="25"/>
        <v/>
      </c>
      <c r="AD68" s="173" t="str">
        <f t="shared" si="26"/>
        <v/>
      </c>
      <c r="AE68" s="174" t="str">
        <f t="shared" si="27"/>
        <v/>
      </c>
      <c r="AF68" s="175" t="str">
        <f t="shared" si="28"/>
        <v/>
      </c>
      <c r="AG68" s="176" t="str">
        <f t="shared" si="13"/>
        <v/>
      </c>
      <c r="AH68" s="177" t="str">
        <f t="shared" si="13"/>
        <v/>
      </c>
      <c r="AI68" s="178" t="str">
        <f t="shared" si="29"/>
        <v/>
      </c>
      <c r="AJ68" s="170" t="str">
        <f t="shared" si="14"/>
        <v/>
      </c>
      <c r="AK68" s="171">
        <f t="shared" si="15"/>
        <v>0</v>
      </c>
      <c r="AL68" s="127">
        <f t="shared" si="16"/>
        <v>0</v>
      </c>
      <c r="AM68" s="112" t="str">
        <f>IF(W68="","",IF($L$13=$AV$95, VLOOKUP(W68,'Criteria-Business'!$C$3:$M$104,11,FALSE),VLOOKUP(W68,'Criteria-SBP'!$C$3:$L$113,10,FALSE)))</f>
        <v/>
      </c>
      <c r="AN68" s="110">
        <f t="shared" si="30"/>
        <v>1</v>
      </c>
      <c r="AO68" s="187" t="str">
        <f t="shared" si="17"/>
        <v/>
      </c>
      <c r="AP68" s="282" t="str">
        <f t="shared" si="18"/>
        <v/>
      </c>
      <c r="AR68" s="99"/>
      <c r="AS68" s="100">
        <f>COUNTIF('Criteria-SBP'!S$3:S$4,W68)</f>
        <v>0</v>
      </c>
      <c r="BH68" s="100" t="s">
        <v>105</v>
      </c>
    </row>
    <row r="69" spans="2:60" s="100" customFormat="1" ht="15" customHeight="1" thickBot="1" x14ac:dyDescent="0.3">
      <c r="B69" s="198">
        <v>50</v>
      </c>
      <c r="C69" s="139"/>
      <c r="D69" s="140"/>
      <c r="E69" s="141"/>
      <c r="F69" s="148" t="str">
        <f t="shared" si="20"/>
        <v/>
      </c>
      <c r="G69" s="142"/>
      <c r="H69" s="139"/>
      <c r="I69" s="143"/>
      <c r="J69" s="144"/>
      <c r="K69" s="145"/>
      <c r="L69" s="141"/>
      <c r="M69" s="141" t="s">
        <v>104</v>
      </c>
      <c r="N69" s="150" t="str">
        <f t="shared" si="21"/>
        <v/>
      </c>
      <c r="O69" s="142"/>
      <c r="P69" s="139"/>
      <c r="Q69" s="194"/>
      <c r="R69" s="195"/>
      <c r="S69" s="152" t="str">
        <f t="shared" si="19"/>
        <v/>
      </c>
      <c r="T69" s="288"/>
      <c r="U69" s="289"/>
      <c r="V69" s="154" t="str">
        <f t="shared" si="12"/>
        <v/>
      </c>
      <c r="W69" s="337"/>
      <c r="X69" s="160" t="str">
        <f>IF(W69="","",IF($L$13=$AV$95, VLOOKUP(W69,'Criteria-Business'!$C$3:$M$104,7,FALSE),VLOOKUP(W69,'Criteria-SBP'!$C$3:$L$113,7,FALSE)))</f>
        <v/>
      </c>
      <c r="Y69" s="161" t="str">
        <f>IF(W69="","","/ "&amp;IF($L$13=$AV$95, VLOOKUP(W69,'Criteria-Business'!$C$3:$M$104,8,FALSE),VLOOKUP(W69,'Criteria-SBP'!$C$3:$L$113,8,FALSE)))</f>
        <v/>
      </c>
      <c r="Z69" s="162" t="str">
        <f t="shared" si="22"/>
        <v xml:space="preserve"> </v>
      </c>
      <c r="AA69" s="161" t="str">
        <f t="shared" si="23"/>
        <v>None</v>
      </c>
      <c r="AB69" s="108">
        <f t="shared" si="24"/>
        <v>0</v>
      </c>
      <c r="AC69" s="179" t="str">
        <f t="shared" si="25"/>
        <v/>
      </c>
      <c r="AD69" s="180" t="str">
        <f t="shared" si="26"/>
        <v/>
      </c>
      <c r="AE69" s="181" t="str">
        <f t="shared" si="27"/>
        <v/>
      </c>
      <c r="AF69" s="182" t="str">
        <f t="shared" si="28"/>
        <v/>
      </c>
      <c r="AG69" s="183" t="str">
        <f t="shared" si="13"/>
        <v/>
      </c>
      <c r="AH69" s="184" t="str">
        <f t="shared" si="13"/>
        <v/>
      </c>
      <c r="AI69" s="185" t="str">
        <f t="shared" si="29"/>
        <v/>
      </c>
      <c r="AJ69" s="186" t="str">
        <f t="shared" si="14"/>
        <v/>
      </c>
      <c r="AK69" s="185">
        <f t="shared" si="15"/>
        <v>0</v>
      </c>
      <c r="AL69" s="128">
        <f t="shared" si="16"/>
        <v>0</v>
      </c>
      <c r="AM69" s="347" t="str">
        <f>IF(W69="","",IF($L$13=$AV$95, VLOOKUP(W69,'Criteria-Business'!$C$3:$M$104,11,FALSE),VLOOKUP(W69,'Criteria-SBP'!$C$3:$L$113,10,FALSE)))</f>
        <v/>
      </c>
      <c r="AN69" s="120">
        <f t="shared" si="30"/>
        <v>1</v>
      </c>
      <c r="AO69" s="188" t="str">
        <f t="shared" si="17"/>
        <v/>
      </c>
      <c r="AP69" s="338" t="str">
        <f t="shared" si="18"/>
        <v/>
      </c>
      <c r="AQ69" s="201"/>
      <c r="AR69" s="101"/>
      <c r="AS69" s="100">
        <f>COUNTIF('Criteria-SBP'!S$3:S$4,W69)</f>
        <v>0</v>
      </c>
      <c r="BH69" s="100" t="s">
        <v>105</v>
      </c>
    </row>
    <row r="70" spans="2:60" s="201" customFormat="1" ht="15" x14ac:dyDescent="0.2">
      <c r="B70" s="200"/>
      <c r="E70" s="202"/>
      <c r="F70" s="203"/>
      <c r="G70" s="203"/>
      <c r="H70" s="204" t="s">
        <v>106</v>
      </c>
      <c r="I70" s="205">
        <f>SUM(I20:I69)</f>
        <v>0</v>
      </c>
      <c r="J70" s="203"/>
      <c r="K70" s="203"/>
      <c r="L70" s="203"/>
      <c r="M70" s="206"/>
      <c r="N70" s="203"/>
      <c r="O70" s="203"/>
      <c r="P70" s="203"/>
      <c r="Q70" s="205">
        <f>SUM(Q20:Q69)</f>
        <v>0</v>
      </c>
      <c r="R70" s="207"/>
      <c r="S70" s="207">
        <f>SUM(S20:S69)</f>
        <v>0</v>
      </c>
      <c r="T70" s="206"/>
      <c r="U70" s="206"/>
      <c r="V70" s="207">
        <f>SUM(V20:V69)</f>
        <v>0</v>
      </c>
      <c r="W70" s="206"/>
      <c r="X70" s="206"/>
      <c r="Y70" s="206"/>
      <c r="Z70" s="206"/>
      <c r="AA70" s="206"/>
      <c r="AB70" s="206"/>
      <c r="AC70" s="208">
        <f>ROUND(SUM(AC20:AC69),2)</f>
        <v>0</v>
      </c>
      <c r="AD70" s="209">
        <f>ROUND(SUM(AD20:AD69),0)</f>
        <v>0</v>
      </c>
      <c r="AE70" s="210">
        <f>ROUND(SUM(AE20:AE69),2)</f>
        <v>0</v>
      </c>
      <c r="AF70" s="209">
        <f>ROUND(SUM(AF20:AF69),0)</f>
        <v>0</v>
      </c>
      <c r="AG70" s="122">
        <f>SUM(AG20:AG69)</f>
        <v>0</v>
      </c>
      <c r="AH70" s="91">
        <f t="shared" ref="AH70:AK70" si="31">SUM(AH20:AH69)</f>
        <v>0</v>
      </c>
      <c r="AI70" s="211">
        <f t="shared" si="31"/>
        <v>0</v>
      </c>
      <c r="AJ70" s="92" t="str">
        <f>IF(AND(S70&lt;&gt;"",AI70&gt;0),(S70+V70)/AI70,"")</f>
        <v/>
      </c>
      <c r="AK70" s="211">
        <f t="shared" si="31"/>
        <v>0</v>
      </c>
      <c r="AL70" s="211">
        <f t="shared" ref="AL70" si="32">SUM(AL20:AL69)</f>
        <v>0</v>
      </c>
      <c r="AM70" s="211"/>
      <c r="AN70" s="211"/>
      <c r="AO70" s="92" t="str">
        <f>IF(AND(S70&lt;&gt;"",AI70&gt;0),(S70+V70-AK70)/AI70,"")</f>
        <v/>
      </c>
      <c r="AP70" s="1"/>
      <c r="AQ70" s="1"/>
    </row>
    <row r="71" spans="2:60" x14ac:dyDescent="0.2">
      <c r="AI71" s="14"/>
      <c r="AJ71" s="14"/>
      <c r="AL71" s="14"/>
      <c r="AM71" s="14"/>
      <c r="AN71" s="14"/>
      <c r="AO71" s="212" t="str">
        <f>IF(AK70&gt;$AV$110,$AW$110,IF(AK70&gt;$AV$109,$AW$109,""))</f>
        <v/>
      </c>
    </row>
    <row r="72" spans="2:60" x14ac:dyDescent="0.2">
      <c r="C72" s="10"/>
      <c r="D72" s="10"/>
      <c r="E72" s="10"/>
      <c r="F72" s="10"/>
      <c r="G72" s="10"/>
      <c r="H72" s="10"/>
      <c r="I72" s="10"/>
      <c r="J72" s="10"/>
      <c r="K72" s="10"/>
      <c r="L72" s="10"/>
      <c r="N72" s="10"/>
      <c r="O72" s="10"/>
      <c r="P72" s="10"/>
      <c r="Q72" s="10"/>
      <c r="R72" s="10"/>
    </row>
    <row r="73" spans="2:60" x14ac:dyDescent="0.2">
      <c r="C73" s="10"/>
      <c r="D73" s="10"/>
      <c r="E73" s="10"/>
      <c r="F73" s="10"/>
      <c r="G73" s="10"/>
      <c r="H73" s="10"/>
      <c r="I73" s="10"/>
      <c r="J73" s="10"/>
      <c r="K73" s="10"/>
      <c r="L73" s="10"/>
      <c r="N73" s="10"/>
      <c r="O73" s="10"/>
      <c r="P73" s="10"/>
      <c r="Q73" s="10"/>
      <c r="R73" s="10"/>
    </row>
    <row r="74" spans="2:60" x14ac:dyDescent="0.2">
      <c r="C74" s="10"/>
      <c r="F74" s="10"/>
      <c r="G74" s="10"/>
      <c r="H74" s="10"/>
      <c r="I74" s="10"/>
      <c r="J74" s="10"/>
      <c r="K74" s="10"/>
      <c r="L74" s="10"/>
      <c r="N74" s="10"/>
      <c r="O74" s="10"/>
      <c r="P74" s="10"/>
      <c r="Q74" s="10"/>
      <c r="R74" s="10"/>
    </row>
    <row r="75" spans="2:60" x14ac:dyDescent="0.2">
      <c r="C75" s="10"/>
      <c r="D75" s="10"/>
      <c r="E75" s="10"/>
      <c r="F75" s="10"/>
      <c r="G75" s="10"/>
      <c r="H75" s="10"/>
      <c r="I75" s="10"/>
      <c r="J75" s="10"/>
      <c r="K75" s="10"/>
      <c r="L75" s="10"/>
      <c r="N75" s="10"/>
      <c r="O75" s="10"/>
      <c r="P75" s="10"/>
      <c r="Q75" s="10"/>
      <c r="R75" s="10"/>
    </row>
    <row r="76" spans="2:60" x14ac:dyDescent="0.2">
      <c r="C76" s="10"/>
      <c r="F76" s="10"/>
      <c r="G76" s="10"/>
      <c r="H76" s="10"/>
      <c r="I76" s="10"/>
      <c r="J76" s="10"/>
      <c r="K76" s="10"/>
      <c r="L76" s="10"/>
      <c r="N76" s="10"/>
      <c r="O76" s="10"/>
      <c r="P76" s="10"/>
      <c r="Q76" s="10"/>
      <c r="R76" s="10"/>
    </row>
    <row r="77" spans="2:60" ht="14.25" customHeight="1" x14ac:dyDescent="0.2">
      <c r="C77" s="10"/>
      <c r="F77" s="10"/>
      <c r="G77" s="10"/>
      <c r="H77" s="10"/>
      <c r="I77" s="10"/>
      <c r="J77" s="10"/>
      <c r="K77" s="10"/>
      <c r="L77" s="10"/>
      <c r="N77" s="10"/>
      <c r="O77" s="10"/>
      <c r="P77" s="10"/>
      <c r="Q77" s="10"/>
      <c r="R77" s="10"/>
    </row>
    <row r="78" spans="2:60" x14ac:dyDescent="0.2">
      <c r="C78" s="10"/>
      <c r="D78" s="10"/>
      <c r="E78" s="10"/>
      <c r="F78" s="10"/>
      <c r="G78" s="10"/>
      <c r="H78" s="10"/>
      <c r="I78" s="10"/>
      <c r="J78" s="10"/>
      <c r="K78" s="10"/>
      <c r="L78" s="10"/>
      <c r="N78" s="10"/>
      <c r="O78" s="10"/>
      <c r="P78" s="10"/>
      <c r="Q78" s="10"/>
      <c r="R78" s="10"/>
    </row>
    <row r="79" spans="2:60" x14ac:dyDescent="0.2">
      <c r="C79" s="10"/>
      <c r="D79" s="10"/>
      <c r="E79" s="10"/>
      <c r="F79" s="10"/>
      <c r="G79" s="10"/>
      <c r="H79" s="10"/>
      <c r="I79" s="10"/>
      <c r="J79" s="10"/>
      <c r="K79" s="10"/>
      <c r="L79" s="10"/>
      <c r="N79" s="10"/>
      <c r="O79" s="10"/>
      <c r="P79" s="10"/>
      <c r="Q79" s="10"/>
      <c r="R79" s="10"/>
    </row>
    <row r="80" spans="2:60" x14ac:dyDescent="0.2">
      <c r="C80" s="10"/>
      <c r="D80" s="10"/>
      <c r="E80" s="10"/>
      <c r="F80" s="10"/>
      <c r="G80" s="10"/>
      <c r="H80" s="10"/>
      <c r="I80" s="10"/>
      <c r="J80" s="10"/>
      <c r="K80" s="10"/>
      <c r="L80" s="10"/>
      <c r="N80" s="10"/>
      <c r="O80" s="10"/>
      <c r="P80" s="10"/>
      <c r="Q80" s="10"/>
      <c r="R80" s="10"/>
    </row>
    <row r="81" spans="3:55" x14ac:dyDescent="0.2">
      <c r="C81" s="10"/>
      <c r="D81" s="10"/>
      <c r="E81" s="10"/>
      <c r="F81" s="10"/>
      <c r="G81" s="10"/>
      <c r="H81" s="10"/>
      <c r="I81" s="10"/>
      <c r="J81" s="10"/>
      <c r="K81" s="10"/>
      <c r="L81" s="10"/>
      <c r="N81" s="10"/>
      <c r="O81" s="10"/>
      <c r="P81" s="10"/>
      <c r="Q81" s="10"/>
      <c r="R81" s="10"/>
    </row>
    <row r="82" spans="3:55" x14ac:dyDescent="0.2">
      <c r="C82" s="10"/>
      <c r="D82" s="10"/>
      <c r="E82" s="10"/>
      <c r="F82" s="10"/>
      <c r="G82" s="10"/>
      <c r="H82" s="10"/>
      <c r="I82" s="10"/>
      <c r="J82" s="10"/>
      <c r="K82" s="10"/>
      <c r="L82" s="10"/>
      <c r="N82" s="10"/>
      <c r="O82" s="10"/>
      <c r="P82" s="10"/>
      <c r="Q82" s="10"/>
      <c r="R82" s="10"/>
    </row>
    <row r="83" spans="3:55" x14ac:dyDescent="0.2">
      <c r="C83" s="10"/>
      <c r="D83" s="10"/>
      <c r="E83" s="10"/>
      <c r="F83" s="10"/>
      <c r="G83" s="10"/>
      <c r="H83" s="10"/>
      <c r="I83" s="10"/>
      <c r="J83" s="10"/>
      <c r="K83" s="10"/>
      <c r="L83" s="10"/>
      <c r="N83" s="10"/>
      <c r="O83" s="10"/>
      <c r="P83" s="10"/>
      <c r="Q83" s="10"/>
      <c r="R83" s="10"/>
    </row>
    <row r="84" spans="3:55" x14ac:dyDescent="0.2">
      <c r="C84" s="10"/>
      <c r="D84" s="10"/>
      <c r="E84" s="10"/>
      <c r="F84" s="10"/>
      <c r="G84" s="10"/>
      <c r="H84" s="10"/>
      <c r="I84" s="10"/>
      <c r="J84" s="10"/>
      <c r="K84" s="10"/>
      <c r="L84" s="10"/>
      <c r="N84" s="10"/>
      <c r="O84" s="10"/>
      <c r="P84" s="10"/>
      <c r="Q84" s="10"/>
      <c r="R84" s="10"/>
    </row>
    <row r="85" spans="3:55" x14ac:dyDescent="0.2">
      <c r="C85" s="10"/>
      <c r="D85" s="10"/>
      <c r="E85" s="10"/>
      <c r="F85" s="10"/>
      <c r="G85" s="10"/>
      <c r="H85" s="10"/>
      <c r="I85" s="10"/>
      <c r="J85" s="10"/>
      <c r="K85" s="10"/>
      <c r="L85" s="10"/>
      <c r="N85" s="10"/>
      <c r="O85" s="10"/>
      <c r="P85" s="10"/>
      <c r="Q85" s="10"/>
      <c r="R85" s="10"/>
    </row>
    <row r="86" spans="3:55" x14ac:dyDescent="0.2">
      <c r="C86" s="10"/>
      <c r="D86" s="10"/>
      <c r="E86" s="10"/>
      <c r="F86" s="10"/>
      <c r="G86" s="10"/>
      <c r="H86" s="10"/>
      <c r="I86" s="10"/>
      <c r="J86" s="10"/>
      <c r="K86" s="10"/>
      <c r="L86" s="10"/>
      <c r="N86" s="10"/>
      <c r="O86" s="10"/>
      <c r="P86" s="10"/>
      <c r="Q86" s="10"/>
      <c r="R86" s="10"/>
    </row>
    <row r="87" spans="3:55" x14ac:dyDescent="0.2">
      <c r="C87" s="10"/>
      <c r="D87" s="10"/>
      <c r="E87" s="10"/>
      <c r="F87" s="10"/>
      <c r="G87" s="10"/>
      <c r="H87" s="10"/>
      <c r="I87" s="10"/>
      <c r="J87" s="10"/>
      <c r="K87" s="10"/>
      <c r="L87" s="10"/>
      <c r="N87" s="10"/>
      <c r="O87" s="10"/>
      <c r="P87" s="10"/>
      <c r="Q87" s="10"/>
      <c r="R87" s="10"/>
    </row>
    <row r="88" spans="3:55" x14ac:dyDescent="0.2">
      <c r="C88" s="10"/>
      <c r="D88" s="10"/>
      <c r="E88" s="10"/>
      <c r="F88" s="10"/>
      <c r="G88" s="10"/>
      <c r="H88" s="10"/>
      <c r="I88" s="10"/>
      <c r="J88" s="10"/>
      <c r="K88" s="10"/>
      <c r="L88" s="10"/>
      <c r="N88" s="10"/>
      <c r="O88" s="10"/>
      <c r="P88" s="10"/>
      <c r="Q88" s="10"/>
      <c r="R88" s="10"/>
    </row>
    <row r="89" spans="3:55" x14ac:dyDescent="0.2">
      <c r="C89" s="10"/>
      <c r="D89" s="10"/>
      <c r="E89" s="10"/>
      <c r="F89" s="10"/>
      <c r="G89" s="10"/>
      <c r="H89" s="10"/>
      <c r="I89" s="10"/>
      <c r="J89" s="10"/>
      <c r="K89" s="10"/>
      <c r="L89" s="10"/>
      <c r="N89" s="10"/>
      <c r="O89" s="10"/>
      <c r="P89" s="10"/>
      <c r="Q89" s="10"/>
      <c r="R89" s="10"/>
    </row>
    <row r="90" spans="3:55" x14ac:dyDescent="0.2">
      <c r="C90" s="10"/>
      <c r="D90" s="10"/>
      <c r="E90" s="10"/>
      <c r="F90" s="10"/>
      <c r="G90" s="10"/>
      <c r="H90" s="10"/>
      <c r="I90" s="10"/>
      <c r="J90" s="10"/>
      <c r="K90" s="10"/>
      <c r="L90" s="10"/>
      <c r="N90" s="10"/>
      <c r="O90" s="10"/>
      <c r="P90" s="10"/>
      <c r="Q90" s="10"/>
      <c r="R90" s="10"/>
    </row>
    <row r="91" spans="3:55" ht="15" thickBot="1" x14ac:dyDescent="0.25">
      <c r="AV91" s="93"/>
      <c r="AW91" s="93"/>
      <c r="AX91" s="93"/>
      <c r="AY91" s="93"/>
      <c r="AZ91" s="93"/>
      <c r="BA91" s="93"/>
      <c r="BB91" s="93"/>
      <c r="BC91" s="93"/>
    </row>
    <row r="92" spans="3:55" x14ac:dyDescent="0.2">
      <c r="AV92" s="1" t="s">
        <v>107</v>
      </c>
      <c r="AW92" s="1" t="s">
        <v>107</v>
      </c>
      <c r="AX92" s="1" t="s">
        <v>107</v>
      </c>
      <c r="AZ92" s="1" t="s">
        <v>107</v>
      </c>
      <c r="BB92" s="10" t="s">
        <v>107</v>
      </c>
    </row>
    <row r="93" spans="3:55" ht="15" x14ac:dyDescent="0.25">
      <c r="AV93" s="13" t="s">
        <v>108</v>
      </c>
      <c r="AW93" s="13" t="s">
        <v>109</v>
      </c>
      <c r="AX93" s="96" t="s">
        <v>110</v>
      </c>
      <c r="AY93" s="12" t="s">
        <v>111</v>
      </c>
      <c r="AZ93" s="13" t="s">
        <v>112</v>
      </c>
      <c r="BA93" s="96" t="s">
        <v>113</v>
      </c>
      <c r="BB93" s="96" t="s">
        <v>114</v>
      </c>
      <c r="BC93" s="96" t="s">
        <v>115</v>
      </c>
    </row>
    <row r="94" spans="3:55" x14ac:dyDescent="0.2">
      <c r="AV94" s="1" t="s">
        <v>51</v>
      </c>
      <c r="AW94" s="14" t="s">
        <v>104</v>
      </c>
      <c r="AX94" s="95">
        <v>0</v>
      </c>
      <c r="AY94" s="95">
        <v>1</v>
      </c>
      <c r="AZ94" s="14"/>
      <c r="BA94" s="94" t="s">
        <v>116</v>
      </c>
      <c r="BB94" s="94" t="s">
        <v>116</v>
      </c>
      <c r="BC94" s="94" t="s">
        <v>104</v>
      </c>
    </row>
    <row r="95" spans="3:55" x14ac:dyDescent="0.2">
      <c r="AV95" s="1" t="s">
        <v>117</v>
      </c>
      <c r="AW95" s="14" t="str">
        <f>IF($L$13=$AV$94,"S-","")&amp;"L3251: Exterior Bi-Level Controls, Dusk to Dawn"</f>
        <v>S-L3251: Exterior Bi-Level Controls, Dusk to Dawn</v>
      </c>
      <c r="AX95" s="95">
        <v>0.4</v>
      </c>
      <c r="AY95" s="95">
        <v>1</v>
      </c>
      <c r="AZ95" s="14"/>
      <c r="BA95" s="94">
        <v>35</v>
      </c>
      <c r="BB95" s="94">
        <v>10</v>
      </c>
      <c r="BC95" s="1" t="s">
        <v>118</v>
      </c>
    </row>
    <row r="96" spans="3:55" x14ac:dyDescent="0.2">
      <c r="AW96" s="14" t="str">
        <f>IF($L$13=$AV$94,"S-","")&amp;"L3252: Exterior Bi-Level Controls, 24 Hour"</f>
        <v>S-L3252: Exterior Bi-Level Controls, 24 Hour</v>
      </c>
      <c r="AX96" s="95">
        <v>0.4</v>
      </c>
      <c r="AY96" s="95">
        <v>1</v>
      </c>
      <c r="AZ96" s="14"/>
      <c r="BA96" s="94">
        <v>35</v>
      </c>
      <c r="BB96" s="94">
        <v>10</v>
      </c>
      <c r="BC96" s="1" t="s">
        <v>118</v>
      </c>
    </row>
    <row r="97" spans="48:55" ht="15" x14ac:dyDescent="0.25">
      <c r="AV97" s="13" t="s">
        <v>119</v>
      </c>
      <c r="AW97" s="14" t="str">
        <f>IF($L$13=$AV$94,"S-","")&amp;"L3253: Photocell with Internal Timer or Wireless Schedule"</f>
        <v>S-L3253: Photocell with Internal Timer or Wireless Schedule</v>
      </c>
      <c r="AX97" s="95">
        <v>0.33</v>
      </c>
      <c r="AY97" s="95">
        <v>1</v>
      </c>
      <c r="AZ97" s="14"/>
      <c r="BA97" s="94">
        <v>35</v>
      </c>
      <c r="BB97" s="94">
        <v>10</v>
      </c>
      <c r="BC97" s="1" t="s">
        <v>118</v>
      </c>
    </row>
    <row r="98" spans="48:55" x14ac:dyDescent="0.2">
      <c r="AV98" s="94" t="s">
        <v>104</v>
      </c>
      <c r="AW98" s="14" t="str">
        <f>IF($L$13=$AV$94,"S-","")&amp;"L3406: Daylighting Controls"</f>
        <v>S-L3406: Daylighting Controls</v>
      </c>
      <c r="AX98" s="95">
        <v>0.3</v>
      </c>
      <c r="AY98" s="95">
        <v>1</v>
      </c>
      <c r="AZ98" s="14"/>
      <c r="BA98" s="94">
        <v>0.1</v>
      </c>
      <c r="BB98" s="94">
        <v>0.05</v>
      </c>
      <c r="BC98" s="1" t="s">
        <v>120</v>
      </c>
    </row>
    <row r="99" spans="48:55" x14ac:dyDescent="0.2">
      <c r="AV99" s="1" t="s">
        <v>118</v>
      </c>
      <c r="AW99" s="14" t="str">
        <f>IF($L$13=$AV$94,"S-","")&amp;"L3978: High Bay On/Off Occupancy Control"</f>
        <v>S-L3978: High Bay On/Off Occupancy Control</v>
      </c>
      <c r="AX99" s="95">
        <v>0.45</v>
      </c>
      <c r="AY99" s="95">
        <v>1</v>
      </c>
      <c r="AZ99" s="14"/>
      <c r="BA99" s="94">
        <v>30</v>
      </c>
      <c r="BB99" s="94">
        <v>10</v>
      </c>
      <c r="BC99" s="1" t="s">
        <v>118</v>
      </c>
    </row>
    <row r="100" spans="48:55" x14ac:dyDescent="0.2">
      <c r="AV100" s="1" t="s">
        <v>120</v>
      </c>
      <c r="AW100" s="14" t="str">
        <f>IF($L$13=$AV$94,"S-","")&amp;"L3979: High Bay Bi-Level Occupancy Control"</f>
        <v>S-L3979: High Bay Bi-Level Occupancy Control</v>
      </c>
      <c r="AX100" s="95">
        <v>0.13</v>
      </c>
      <c r="AY100" s="95">
        <v>1</v>
      </c>
      <c r="AZ100" s="14"/>
      <c r="BA100" s="94">
        <v>20</v>
      </c>
      <c r="BB100" s="94">
        <v>10</v>
      </c>
      <c r="BC100" s="1" t="s">
        <v>118</v>
      </c>
    </row>
    <row r="101" spans="48:55" x14ac:dyDescent="0.2">
      <c r="AV101" s="1" t="s">
        <v>121</v>
      </c>
      <c r="AW101" s="14" t="str">
        <f>IF($L$13=$AV$94,"S-","")&amp;"L2471: Ceiling-Mounted, controlling 500W or less each (Non-High Bay)"</f>
        <v>S-L2471: Ceiling-Mounted, controlling 500W or less each (Non-High Bay)</v>
      </c>
      <c r="AX101" s="95">
        <v>0.41</v>
      </c>
      <c r="AY101" s="95">
        <v>1</v>
      </c>
      <c r="AZ101" s="14"/>
      <c r="BA101" s="94">
        <v>30</v>
      </c>
      <c r="BB101" s="94">
        <v>10</v>
      </c>
      <c r="BC101" s="1" t="s">
        <v>121</v>
      </c>
    </row>
    <row r="102" spans="48:55" x14ac:dyDescent="0.2">
      <c r="AW102" s="14" t="str">
        <f>IF($L$13=$AV$94,"S-","")&amp;"L2473: Ceiling-Mounted, controlling 501–1000W each (Non-High Bay)"</f>
        <v>S-L2473: Ceiling-Mounted, controlling 501–1000W each (Non-High Bay)</v>
      </c>
      <c r="AX102" s="95">
        <v>0.41</v>
      </c>
      <c r="AY102" s="95">
        <v>1</v>
      </c>
      <c r="AZ102" s="14"/>
      <c r="BA102" s="94">
        <v>50</v>
      </c>
      <c r="BB102" s="94">
        <v>10</v>
      </c>
      <c r="BC102" s="1" t="s">
        <v>121</v>
      </c>
    </row>
    <row r="103" spans="48:55" x14ac:dyDescent="0.2">
      <c r="AW103" s="14" t="str">
        <f>IF($L$13=$AV$94,"S-","")&amp;"L2472: Ceiling-Mounted, controlling over 1000W each (Non-High Bay)"</f>
        <v>S-L2472: Ceiling-Mounted, controlling over 1000W each (Non-High Bay)</v>
      </c>
      <c r="AX103" s="95">
        <v>0.41</v>
      </c>
      <c r="AY103" s="95">
        <v>1</v>
      </c>
      <c r="AZ103" s="14"/>
      <c r="BA103" s="94">
        <v>70</v>
      </c>
      <c r="BB103" s="94">
        <v>10</v>
      </c>
      <c r="BC103" s="1" t="s">
        <v>121</v>
      </c>
    </row>
    <row r="104" spans="48:55" x14ac:dyDescent="0.2">
      <c r="AW104" s="14" t="str">
        <f>IF($L$13=$AV$94,"S-","")&amp;"L2483: Wall Switch-Mounted, controlling 200W or less each (Non-High Bay)"</f>
        <v>S-L2483: Wall Switch-Mounted, controlling 200W or less each (Non-High Bay)</v>
      </c>
      <c r="AX104" s="95">
        <v>0.41</v>
      </c>
      <c r="AY104" s="95">
        <v>1</v>
      </c>
      <c r="AZ104" s="14"/>
      <c r="BA104" s="94">
        <v>12.5</v>
      </c>
      <c r="BB104" s="94">
        <v>7.5</v>
      </c>
      <c r="BC104" s="1" t="s">
        <v>121</v>
      </c>
    </row>
    <row r="105" spans="48:55" x14ac:dyDescent="0.2">
      <c r="AW105" s="14" t="str">
        <f>IF($L$13=$AV$94,"S-","")&amp;"L2484: Wall Switch-Mounted, controlling over 200W each (Non-High Bay)"</f>
        <v>S-L2484: Wall Switch-Mounted, controlling over 200W each (Non-High Bay)</v>
      </c>
      <c r="AX105" s="95">
        <v>0.41</v>
      </c>
      <c r="AY105" s="95">
        <v>1</v>
      </c>
      <c r="AZ105" s="14"/>
      <c r="BA105" s="94">
        <v>20</v>
      </c>
      <c r="BB105" s="94">
        <v>7.5</v>
      </c>
      <c r="BC105" s="1" t="s">
        <v>121</v>
      </c>
    </row>
    <row r="106" spans="48:55" x14ac:dyDescent="0.2">
      <c r="AW106" s="14" t="str">
        <f>IF($L$13=$AV$94,"S-","")&amp;"L2474: Fixture-Mounted, controlling 200W or less each (Non-High Bay)"</f>
        <v>S-L2474: Fixture-Mounted, controlling 200W or less each (Non-High Bay)</v>
      </c>
      <c r="AX106" s="95">
        <v>0.41</v>
      </c>
      <c r="AY106" s="95">
        <v>1</v>
      </c>
      <c r="AZ106" s="14"/>
      <c r="BA106" s="94">
        <v>15</v>
      </c>
      <c r="BB106" s="94">
        <v>5</v>
      </c>
      <c r="BC106" s="1" t="s">
        <v>121</v>
      </c>
    </row>
    <row r="107" spans="48:55" x14ac:dyDescent="0.2">
      <c r="AW107" s="14" t="str">
        <f>IF($L$13=$AV$94,"S-","")&amp;"L2475: Fixture-Mounted, controlling over 200W each (Non-High Bay)"</f>
        <v>S-L2475: Fixture-Mounted, controlling over 200W each (Non-High Bay)</v>
      </c>
      <c r="AX107" s="95">
        <v>0.41</v>
      </c>
      <c r="AY107" s="95">
        <v>1</v>
      </c>
      <c r="AZ107" s="14"/>
      <c r="BA107" s="94">
        <v>25</v>
      </c>
      <c r="BB107" s="94">
        <v>5</v>
      </c>
      <c r="BC107" s="1" t="s">
        <v>121</v>
      </c>
    </row>
    <row r="108" spans="48:55" x14ac:dyDescent="0.2">
      <c r="AW108" s="14"/>
      <c r="AX108" s="95"/>
      <c r="AY108" s="10"/>
      <c r="AZ108" s="14"/>
      <c r="BA108" s="94"/>
      <c r="BB108" s="94"/>
    </row>
    <row r="109" spans="48:55" x14ac:dyDescent="0.2">
      <c r="AV109" s="94">
        <v>6000</v>
      </c>
      <c r="AW109" s="1" t="s">
        <v>122</v>
      </c>
      <c r="AX109" s="95"/>
      <c r="AY109" s="10"/>
      <c r="AZ109" s="14"/>
      <c r="BA109" s="94"/>
      <c r="BB109" s="94"/>
    </row>
    <row r="110" spans="48:55" x14ac:dyDescent="0.2">
      <c r="AV110" s="94">
        <v>10000</v>
      </c>
      <c r="AW110" s="1" t="s">
        <v>123</v>
      </c>
      <c r="AX110" s="95"/>
      <c r="AY110" s="10"/>
      <c r="AZ110" s="14"/>
      <c r="BA110" s="94"/>
      <c r="BB110" s="94"/>
    </row>
    <row r="111" spans="48:55" x14ac:dyDescent="0.2">
      <c r="AW111" s="14"/>
      <c r="AX111" s="95"/>
      <c r="AY111" s="10"/>
      <c r="AZ111" s="14"/>
      <c r="BA111" s="94"/>
      <c r="BB111" s="94"/>
    </row>
    <row r="112" spans="48:55" x14ac:dyDescent="0.2">
      <c r="AW112" s="14"/>
      <c r="AX112" s="95"/>
      <c r="AY112" s="10"/>
      <c r="AZ112" s="14"/>
      <c r="BA112" s="94"/>
      <c r="BB112" s="94"/>
    </row>
    <row r="113" spans="48:53" ht="15" x14ac:dyDescent="0.2">
      <c r="AV113" s="329" t="s">
        <v>124</v>
      </c>
      <c r="AW113" s="15"/>
      <c r="AX113" s="330"/>
    </row>
    <row r="114" spans="48:53" ht="15" x14ac:dyDescent="0.2">
      <c r="AV114" s="16" t="s">
        <v>125</v>
      </c>
      <c r="AW114" s="331"/>
      <c r="AX114" s="17"/>
    </row>
    <row r="115" spans="48:53" ht="15" x14ac:dyDescent="0.2">
      <c r="AV115" s="332" t="s">
        <v>126</v>
      </c>
      <c r="AW115" s="15"/>
    </row>
    <row r="116" spans="48:53" x14ac:dyDescent="0.2">
      <c r="AV116" s="18" t="s">
        <v>127</v>
      </c>
      <c r="AW116" s="19"/>
    </row>
    <row r="117" spans="48:53" x14ac:dyDescent="0.2">
      <c r="AV117" s="20" t="s">
        <v>128</v>
      </c>
      <c r="AW117" s="21"/>
    </row>
    <row r="118" spans="48:53" x14ac:dyDescent="0.2">
      <c r="AV118" s="20" t="s">
        <v>129</v>
      </c>
      <c r="AW118" s="21"/>
    </row>
    <row r="119" spans="48:53" ht="15" x14ac:dyDescent="0.25">
      <c r="AV119" s="20" t="s">
        <v>130</v>
      </c>
      <c r="AW119" s="21"/>
      <c r="AX119" s="22"/>
      <c r="AY119" s="22"/>
      <c r="AZ119" s="22"/>
      <c r="BA119" s="22"/>
    </row>
    <row r="120" spans="48:53" x14ac:dyDescent="0.2">
      <c r="AV120" s="16" t="s">
        <v>131</v>
      </c>
      <c r="AW120" s="333"/>
    </row>
    <row r="122" spans="48:53" x14ac:dyDescent="0.2">
      <c r="AV122" s="23" t="s">
        <v>132</v>
      </c>
      <c r="AW122" s="23" t="s">
        <v>133</v>
      </c>
    </row>
    <row r="123" spans="48:53" x14ac:dyDescent="0.2">
      <c r="AV123" s="334" t="s">
        <v>134</v>
      </c>
      <c r="AW123" s="334" t="s">
        <v>135</v>
      </c>
    </row>
    <row r="124" spans="48:53" x14ac:dyDescent="0.2">
      <c r="AV124" s="334" t="s">
        <v>136</v>
      </c>
      <c r="AW124" s="334" t="s">
        <v>137</v>
      </c>
    </row>
    <row r="125" spans="48:53" x14ac:dyDescent="0.2">
      <c r="AV125" s="334" t="s">
        <v>138</v>
      </c>
      <c r="AW125" s="334" t="s">
        <v>139</v>
      </c>
    </row>
    <row r="126" spans="48:53" x14ac:dyDescent="0.2">
      <c r="AV126" s="334" t="s">
        <v>140</v>
      </c>
      <c r="AW126" s="334" t="s">
        <v>141</v>
      </c>
    </row>
    <row r="127" spans="48:53" x14ac:dyDescent="0.2">
      <c r="AV127" s="334" t="s">
        <v>142</v>
      </c>
      <c r="AW127" s="334" t="s">
        <v>143</v>
      </c>
    </row>
    <row r="128" spans="48:53" x14ac:dyDescent="0.2">
      <c r="AV128" s="334" t="s">
        <v>144</v>
      </c>
      <c r="AW128" s="334" t="s">
        <v>145</v>
      </c>
    </row>
    <row r="129" spans="48:49" x14ac:dyDescent="0.2">
      <c r="AV129" s="334" t="s">
        <v>146</v>
      </c>
      <c r="AW129" s="334" t="s">
        <v>147</v>
      </c>
    </row>
    <row r="130" spans="48:49" x14ac:dyDescent="0.2">
      <c r="AV130" s="334" t="s">
        <v>148</v>
      </c>
      <c r="AW130" s="334" t="s">
        <v>149</v>
      </c>
    </row>
    <row r="131" spans="48:49" x14ac:dyDescent="0.2">
      <c r="AV131" s="334" t="s">
        <v>150</v>
      </c>
      <c r="AW131" s="334" t="s">
        <v>151</v>
      </c>
    </row>
    <row r="132" spans="48:49" x14ac:dyDescent="0.2">
      <c r="AV132" s="334" t="s">
        <v>152</v>
      </c>
      <c r="AW132" s="334" t="s">
        <v>153</v>
      </c>
    </row>
    <row r="133" spans="48:49" x14ac:dyDescent="0.2">
      <c r="AV133" s="334" t="s">
        <v>154</v>
      </c>
      <c r="AW133" s="334" t="s">
        <v>155</v>
      </c>
    </row>
    <row r="134" spans="48:49" x14ac:dyDescent="0.2">
      <c r="AV134" s="334" t="s">
        <v>156</v>
      </c>
      <c r="AW134" s="334" t="s">
        <v>157</v>
      </c>
    </row>
    <row r="135" spans="48:49" x14ac:dyDescent="0.2">
      <c r="AV135" s="334" t="s">
        <v>158</v>
      </c>
      <c r="AW135" s="334" t="s">
        <v>159</v>
      </c>
    </row>
    <row r="136" spans="48:49" x14ac:dyDescent="0.2">
      <c r="AV136" s="334" t="s">
        <v>160</v>
      </c>
      <c r="AW136" s="334" t="s">
        <v>161</v>
      </c>
    </row>
    <row r="137" spans="48:49" x14ac:dyDescent="0.2">
      <c r="AV137" s="334" t="s">
        <v>162</v>
      </c>
      <c r="AW137" s="334" t="s">
        <v>163</v>
      </c>
    </row>
    <row r="138" spans="48:49" x14ac:dyDescent="0.2">
      <c r="AV138" s="334" t="s">
        <v>164</v>
      </c>
      <c r="AW138" s="334" t="s">
        <v>165</v>
      </c>
    </row>
    <row r="139" spans="48:49" x14ac:dyDescent="0.2">
      <c r="AV139" s="334" t="s">
        <v>166</v>
      </c>
      <c r="AW139" s="334" t="s">
        <v>167</v>
      </c>
    </row>
    <row r="140" spans="48:49" x14ac:dyDescent="0.2">
      <c r="AV140" s="334" t="s">
        <v>168</v>
      </c>
      <c r="AW140" s="334" t="s">
        <v>169</v>
      </c>
    </row>
    <row r="141" spans="48:49" x14ac:dyDescent="0.2">
      <c r="AV141" s="334" t="s">
        <v>170</v>
      </c>
      <c r="AW141" s="334" t="s">
        <v>171</v>
      </c>
    </row>
    <row r="142" spans="48:49" x14ac:dyDescent="0.2">
      <c r="AV142" s="334" t="s">
        <v>172</v>
      </c>
      <c r="AW142" s="334" t="s">
        <v>173</v>
      </c>
    </row>
    <row r="143" spans="48:49" x14ac:dyDescent="0.2">
      <c r="AV143" s="334" t="s">
        <v>174</v>
      </c>
      <c r="AW143" s="334" t="s">
        <v>175</v>
      </c>
    </row>
    <row r="144" spans="48:49" x14ac:dyDescent="0.2">
      <c r="AV144" s="334" t="s">
        <v>176</v>
      </c>
      <c r="AW144" s="334" t="s">
        <v>177</v>
      </c>
    </row>
    <row r="145" spans="48:49" x14ac:dyDescent="0.2">
      <c r="AV145" s="5" t="s">
        <v>178</v>
      </c>
      <c r="AW145" s="5" t="s">
        <v>179</v>
      </c>
    </row>
    <row r="146" spans="48:49" x14ac:dyDescent="0.2">
      <c r="AV146" s="334" t="s">
        <v>180</v>
      </c>
      <c r="AW146" s="334" t="s">
        <v>181</v>
      </c>
    </row>
    <row r="147" spans="48:49" x14ac:dyDescent="0.2">
      <c r="AV147" s="334" t="s">
        <v>182</v>
      </c>
      <c r="AW147" s="334" t="s">
        <v>183</v>
      </c>
    </row>
    <row r="148" spans="48:49" x14ac:dyDescent="0.2">
      <c r="AV148" s="334" t="s">
        <v>184</v>
      </c>
      <c r="AW148" s="334" t="s">
        <v>185</v>
      </c>
    </row>
    <row r="149" spans="48:49" x14ac:dyDescent="0.2">
      <c r="AV149" s="334" t="s">
        <v>186</v>
      </c>
      <c r="AW149" s="334" t="s">
        <v>187</v>
      </c>
    </row>
    <row r="150" spans="48:49" x14ac:dyDescent="0.2">
      <c r="AV150" s="334" t="s">
        <v>188</v>
      </c>
      <c r="AW150" s="334" t="s">
        <v>189</v>
      </c>
    </row>
    <row r="151" spans="48:49" x14ac:dyDescent="0.2">
      <c r="AV151" s="334" t="s">
        <v>190</v>
      </c>
      <c r="AW151" s="334" t="s">
        <v>191</v>
      </c>
    </row>
    <row r="152" spans="48:49" x14ac:dyDescent="0.2">
      <c r="AV152" s="334" t="s">
        <v>192</v>
      </c>
      <c r="AW152" s="334" t="s">
        <v>193</v>
      </c>
    </row>
    <row r="153" spans="48:49" x14ac:dyDescent="0.2">
      <c r="AV153" s="334" t="s">
        <v>194</v>
      </c>
      <c r="AW153" s="334" t="s">
        <v>195</v>
      </c>
    </row>
    <row r="154" spans="48:49" x14ac:dyDescent="0.2">
      <c r="AV154" s="334" t="s">
        <v>196</v>
      </c>
      <c r="AW154" s="334" t="s">
        <v>196</v>
      </c>
    </row>
    <row r="155" spans="48:49" x14ac:dyDescent="0.2">
      <c r="AV155" s="334" t="s">
        <v>197</v>
      </c>
      <c r="AW155" s="334" t="s">
        <v>197</v>
      </c>
    </row>
    <row r="156" spans="48:49" x14ac:dyDescent="0.2">
      <c r="AV156" s="5" t="s">
        <v>198</v>
      </c>
      <c r="AW156" s="5" t="s">
        <v>199</v>
      </c>
    </row>
    <row r="157" spans="48:49" x14ac:dyDescent="0.2">
      <c r="AV157" s="5" t="s">
        <v>200</v>
      </c>
      <c r="AW157" s="5" t="s">
        <v>201</v>
      </c>
    </row>
    <row r="158" spans="48:49" x14ac:dyDescent="0.2">
      <c r="AV158" s="5" t="s">
        <v>202</v>
      </c>
      <c r="AW158" s="5" t="s">
        <v>203</v>
      </c>
    </row>
    <row r="159" spans="48:49" x14ac:dyDescent="0.2">
      <c r="AV159" s="24" t="s">
        <v>204</v>
      </c>
      <c r="AW159" s="5" t="s">
        <v>205</v>
      </c>
    </row>
    <row r="160" spans="48:49" x14ac:dyDescent="0.2">
      <c r="AV160" s="24" t="s">
        <v>206</v>
      </c>
      <c r="AW160" s="5" t="s">
        <v>207</v>
      </c>
    </row>
    <row r="161" spans="48:52" x14ac:dyDescent="0.2">
      <c r="AV161" s="24" t="s">
        <v>208</v>
      </c>
      <c r="AW161" s="5" t="s">
        <v>209</v>
      </c>
    </row>
    <row r="162" spans="48:52" x14ac:dyDescent="0.2">
      <c r="AV162" s="5" t="s">
        <v>210</v>
      </c>
      <c r="AW162" s="5" t="s">
        <v>211</v>
      </c>
    </row>
    <row r="163" spans="48:52" x14ac:dyDescent="0.2">
      <c r="AV163" s="24" t="s">
        <v>212</v>
      </c>
      <c r="AW163" s="5" t="s">
        <v>213</v>
      </c>
    </row>
    <row r="164" spans="48:52" x14ac:dyDescent="0.2">
      <c r="AV164" s="24" t="s">
        <v>214</v>
      </c>
      <c r="AW164" s="335" t="s">
        <v>215</v>
      </c>
    </row>
    <row r="165" spans="48:52" x14ac:dyDescent="0.2">
      <c r="AV165" s="25" t="s">
        <v>216</v>
      </c>
      <c r="AW165" s="334" t="s">
        <v>217</v>
      </c>
    </row>
    <row r="166" spans="48:52" x14ac:dyDescent="0.2">
      <c r="AV166" s="334" t="s">
        <v>218</v>
      </c>
      <c r="AW166" s="334" t="s">
        <v>219</v>
      </c>
    </row>
    <row r="167" spans="48:52" x14ac:dyDescent="0.2">
      <c r="AV167" s="334" t="s">
        <v>220</v>
      </c>
      <c r="AW167" s="334" t="s">
        <v>220</v>
      </c>
    </row>
    <row r="168" spans="48:52" x14ac:dyDescent="0.2">
      <c r="AV168" s="334" t="s">
        <v>221</v>
      </c>
      <c r="AW168" s="334" t="s">
        <v>222</v>
      </c>
    </row>
    <row r="171" spans="48:52" x14ac:dyDescent="0.2">
      <c r="AV171" s="26" t="s">
        <v>223</v>
      </c>
      <c r="AW171" s="27"/>
      <c r="AX171" s="27"/>
    </row>
    <row r="173" spans="48:52" x14ac:dyDescent="0.2">
      <c r="AV173" s="23" t="s">
        <v>224</v>
      </c>
      <c r="AW173" s="23" t="s">
        <v>225</v>
      </c>
      <c r="AX173" s="28" t="s">
        <v>226</v>
      </c>
      <c r="AY173" s="29" t="s">
        <v>227</v>
      </c>
      <c r="AZ173" s="28" t="s">
        <v>228</v>
      </c>
    </row>
    <row r="174" spans="48:52" x14ac:dyDescent="0.2">
      <c r="AV174" s="30" t="s">
        <v>134</v>
      </c>
      <c r="AW174" s="31" t="s">
        <v>229</v>
      </c>
      <c r="AX174" s="32">
        <v>46</v>
      </c>
    </row>
    <row r="175" spans="48:52" x14ac:dyDescent="0.2">
      <c r="AV175" s="30" t="s">
        <v>134</v>
      </c>
      <c r="AW175" s="31" t="s">
        <v>230</v>
      </c>
      <c r="AX175" s="32">
        <v>55</v>
      </c>
    </row>
    <row r="176" spans="48:52" x14ac:dyDescent="0.2">
      <c r="AV176" s="30" t="s">
        <v>134</v>
      </c>
      <c r="AW176" s="31" t="s">
        <v>231</v>
      </c>
      <c r="AX176" s="32">
        <v>67</v>
      </c>
    </row>
    <row r="177" spans="48:50" x14ac:dyDescent="0.2">
      <c r="AV177" s="30" t="s">
        <v>134</v>
      </c>
      <c r="AW177" s="31" t="s">
        <v>232</v>
      </c>
      <c r="AX177" s="32">
        <v>99</v>
      </c>
    </row>
    <row r="178" spans="48:50" x14ac:dyDescent="0.2">
      <c r="AV178" s="30" t="s">
        <v>134</v>
      </c>
      <c r="AW178" s="31" t="s">
        <v>233</v>
      </c>
      <c r="AX178" s="32">
        <v>154</v>
      </c>
    </row>
    <row r="179" spans="48:50" x14ac:dyDescent="0.2">
      <c r="AV179" s="30" t="s">
        <v>134</v>
      </c>
      <c r="AW179" s="31" t="s">
        <v>234</v>
      </c>
      <c r="AX179" s="32">
        <v>185</v>
      </c>
    </row>
    <row r="180" spans="48:50" x14ac:dyDescent="0.2">
      <c r="AV180" s="30" t="s">
        <v>134</v>
      </c>
      <c r="AW180" s="31" t="s">
        <v>235</v>
      </c>
      <c r="AX180" s="32">
        <v>229</v>
      </c>
    </row>
    <row r="181" spans="48:50" x14ac:dyDescent="0.2">
      <c r="AV181" s="30" t="s">
        <v>134</v>
      </c>
      <c r="AW181" s="31" t="s">
        <v>236</v>
      </c>
      <c r="AX181" s="32">
        <v>242</v>
      </c>
    </row>
    <row r="182" spans="48:50" x14ac:dyDescent="0.2">
      <c r="AV182" s="30" t="s">
        <v>134</v>
      </c>
      <c r="AW182" s="31" t="s">
        <v>237</v>
      </c>
      <c r="AX182" s="32">
        <v>290</v>
      </c>
    </row>
    <row r="183" spans="48:50" x14ac:dyDescent="0.2">
      <c r="AV183" s="30" t="s">
        <v>134</v>
      </c>
      <c r="AW183" s="31" t="s">
        <v>238</v>
      </c>
      <c r="AX183" s="32">
        <v>343</v>
      </c>
    </row>
    <row r="184" spans="48:50" x14ac:dyDescent="0.2">
      <c r="AV184" s="30" t="s">
        <v>134</v>
      </c>
      <c r="AW184" s="31" t="s">
        <v>239</v>
      </c>
      <c r="AX184" s="32">
        <v>640</v>
      </c>
    </row>
    <row r="185" spans="48:50" x14ac:dyDescent="0.2">
      <c r="AV185" s="33" t="s">
        <v>136</v>
      </c>
      <c r="AW185" s="31" t="s">
        <v>240</v>
      </c>
      <c r="AX185" s="32">
        <v>174</v>
      </c>
    </row>
    <row r="186" spans="48:50" x14ac:dyDescent="0.2">
      <c r="AV186" s="33" t="s">
        <v>136</v>
      </c>
      <c r="AW186" s="31" t="s">
        <v>241</v>
      </c>
      <c r="AX186" s="32">
        <v>180</v>
      </c>
    </row>
    <row r="187" spans="48:50" x14ac:dyDescent="0.2">
      <c r="AV187" s="33" t="s">
        <v>136</v>
      </c>
      <c r="AW187" s="31" t="s">
        <v>242</v>
      </c>
      <c r="AX187" s="32">
        <v>235</v>
      </c>
    </row>
    <row r="188" spans="48:50" x14ac:dyDescent="0.2">
      <c r="AV188" s="33" t="s">
        <v>136</v>
      </c>
      <c r="AW188" s="31" t="s">
        <v>243</v>
      </c>
      <c r="AX188" s="32">
        <v>242</v>
      </c>
    </row>
    <row r="189" spans="48:50" x14ac:dyDescent="0.2">
      <c r="AV189" s="33" t="s">
        <v>136</v>
      </c>
      <c r="AW189" s="31" t="s">
        <v>244</v>
      </c>
      <c r="AX189" s="32">
        <v>299</v>
      </c>
    </row>
    <row r="190" spans="48:50" x14ac:dyDescent="0.2">
      <c r="AV190" s="33" t="s">
        <v>136</v>
      </c>
      <c r="AW190" s="31" t="s">
        <v>245</v>
      </c>
      <c r="AX190" s="32">
        <v>380</v>
      </c>
    </row>
    <row r="191" spans="48:50" x14ac:dyDescent="0.2">
      <c r="AV191" s="33" t="s">
        <v>136</v>
      </c>
      <c r="AW191" s="31" t="s">
        <v>246</v>
      </c>
      <c r="AX191" s="32">
        <v>414</v>
      </c>
    </row>
    <row r="192" spans="48:50" x14ac:dyDescent="0.2">
      <c r="AV192" s="33" t="s">
        <v>136</v>
      </c>
      <c r="AW192" s="31" t="s">
        <v>247</v>
      </c>
      <c r="AX192" s="32">
        <v>896</v>
      </c>
    </row>
    <row r="193" spans="48:50" x14ac:dyDescent="0.2">
      <c r="AV193" s="34" t="s">
        <v>138</v>
      </c>
      <c r="AW193" s="31" t="s">
        <v>248</v>
      </c>
      <c r="AX193" s="32">
        <v>15</v>
      </c>
    </row>
    <row r="194" spans="48:50" x14ac:dyDescent="0.2">
      <c r="AV194" s="34" t="s">
        <v>138</v>
      </c>
      <c r="AW194" s="31" t="s">
        <v>249</v>
      </c>
      <c r="AX194" s="32">
        <v>22</v>
      </c>
    </row>
    <row r="195" spans="48:50" x14ac:dyDescent="0.2">
      <c r="AV195" s="34" t="s">
        <v>138</v>
      </c>
      <c r="AW195" s="31" t="s">
        <v>250</v>
      </c>
      <c r="AX195" s="32">
        <v>24</v>
      </c>
    </row>
    <row r="196" spans="48:50" x14ac:dyDescent="0.2">
      <c r="AV196" s="34" t="s">
        <v>138</v>
      </c>
      <c r="AW196" s="31" t="s">
        <v>251</v>
      </c>
      <c r="AX196" s="32">
        <v>32</v>
      </c>
    </row>
    <row r="197" spans="48:50" x14ac:dyDescent="0.2">
      <c r="AV197" s="34" t="s">
        <v>138</v>
      </c>
      <c r="AW197" s="31" t="s">
        <v>252</v>
      </c>
      <c r="AX197" s="32">
        <v>39</v>
      </c>
    </row>
    <row r="198" spans="48:50" x14ac:dyDescent="0.2">
      <c r="AV198" s="35" t="s">
        <v>140</v>
      </c>
      <c r="AW198" s="31" t="s">
        <v>253</v>
      </c>
      <c r="AX198" s="32">
        <v>9</v>
      </c>
    </row>
    <row r="199" spans="48:50" x14ac:dyDescent="0.2">
      <c r="AV199" s="35" t="s">
        <v>140</v>
      </c>
      <c r="AW199" s="31" t="s">
        <v>254</v>
      </c>
      <c r="AX199" s="32">
        <v>10</v>
      </c>
    </row>
    <row r="200" spans="48:50" x14ac:dyDescent="0.2">
      <c r="AV200" s="35" t="s">
        <v>140</v>
      </c>
      <c r="AW200" s="31" t="s">
        <v>255</v>
      </c>
      <c r="AX200" s="32">
        <v>13</v>
      </c>
    </row>
    <row r="201" spans="48:50" x14ac:dyDescent="0.2">
      <c r="AV201" s="35" t="s">
        <v>140</v>
      </c>
      <c r="AW201" s="31" t="s">
        <v>256</v>
      </c>
      <c r="AX201" s="32">
        <v>15</v>
      </c>
    </row>
    <row r="202" spans="48:50" x14ac:dyDescent="0.2">
      <c r="AV202" s="35" t="s">
        <v>140</v>
      </c>
      <c r="AW202" s="31" t="s">
        <v>257</v>
      </c>
      <c r="AX202" s="32">
        <v>16</v>
      </c>
    </row>
    <row r="203" spans="48:50" x14ac:dyDescent="0.2">
      <c r="AV203" s="35" t="s">
        <v>140</v>
      </c>
      <c r="AW203" s="31" t="s">
        <v>258</v>
      </c>
      <c r="AX203" s="32">
        <v>18</v>
      </c>
    </row>
    <row r="204" spans="48:50" x14ac:dyDescent="0.2">
      <c r="AV204" s="35" t="s">
        <v>140</v>
      </c>
      <c r="AW204" s="31" t="s">
        <v>259</v>
      </c>
      <c r="AX204" s="32">
        <v>20</v>
      </c>
    </row>
    <row r="205" spans="48:50" x14ac:dyDescent="0.2">
      <c r="AV205" s="35" t="s">
        <v>140</v>
      </c>
      <c r="AW205" s="31" t="s">
        <v>260</v>
      </c>
      <c r="AX205" s="32">
        <v>22</v>
      </c>
    </row>
    <row r="206" spans="48:50" x14ac:dyDescent="0.2">
      <c r="AV206" s="35" t="s">
        <v>140</v>
      </c>
      <c r="AW206" s="31" t="s">
        <v>261</v>
      </c>
      <c r="AX206" s="32">
        <v>24</v>
      </c>
    </row>
    <row r="207" spans="48:50" x14ac:dyDescent="0.2">
      <c r="AV207" s="35" t="s">
        <v>140</v>
      </c>
      <c r="AW207" s="31" t="s">
        <v>262</v>
      </c>
      <c r="AX207" s="32">
        <v>23</v>
      </c>
    </row>
    <row r="208" spans="48:50" x14ac:dyDescent="0.2">
      <c r="AV208" s="35" t="s">
        <v>140</v>
      </c>
      <c r="AW208" s="31" t="s">
        <v>263</v>
      </c>
      <c r="AX208" s="32">
        <v>23</v>
      </c>
    </row>
    <row r="209" spans="48:50" x14ac:dyDescent="0.2">
      <c r="AV209" s="35" t="s">
        <v>140</v>
      </c>
      <c r="AW209" s="31" t="s">
        <v>264</v>
      </c>
      <c r="AX209" s="32">
        <v>24</v>
      </c>
    </row>
    <row r="210" spans="48:50" x14ac:dyDescent="0.2">
      <c r="AV210" s="35" t="s">
        <v>140</v>
      </c>
      <c r="AW210" s="31" t="s">
        <v>265</v>
      </c>
      <c r="AX210" s="32">
        <v>25.5</v>
      </c>
    </row>
    <row r="211" spans="48:50" x14ac:dyDescent="0.2">
      <c r="AV211" s="35" t="s">
        <v>140</v>
      </c>
      <c r="AW211" s="31" t="s">
        <v>266</v>
      </c>
      <c r="AX211" s="32">
        <v>27</v>
      </c>
    </row>
    <row r="212" spans="48:50" x14ac:dyDescent="0.2">
      <c r="AV212" s="35" t="s">
        <v>140</v>
      </c>
      <c r="AW212" s="31" t="s">
        <v>267</v>
      </c>
      <c r="AX212" s="32">
        <v>32</v>
      </c>
    </row>
    <row r="213" spans="48:50" x14ac:dyDescent="0.2">
      <c r="AV213" s="35" t="s">
        <v>140</v>
      </c>
      <c r="AW213" s="31" t="s">
        <v>268</v>
      </c>
      <c r="AX213" s="32">
        <v>33</v>
      </c>
    </row>
    <row r="214" spans="48:50" x14ac:dyDescent="0.2">
      <c r="AV214" s="35" t="s">
        <v>140</v>
      </c>
      <c r="AW214" s="31" t="s">
        <v>269</v>
      </c>
      <c r="AX214" s="32">
        <v>31</v>
      </c>
    </row>
    <row r="215" spans="48:50" x14ac:dyDescent="0.2">
      <c r="AV215" s="35" t="s">
        <v>140</v>
      </c>
      <c r="AW215" s="31" t="s">
        <v>270</v>
      </c>
      <c r="AX215" s="32">
        <v>29</v>
      </c>
    </row>
    <row r="216" spans="48:50" x14ac:dyDescent="0.2">
      <c r="AV216" s="35" t="s">
        <v>140</v>
      </c>
      <c r="AW216" s="31" t="s">
        <v>271</v>
      </c>
      <c r="AX216" s="32">
        <v>33</v>
      </c>
    </row>
    <row r="217" spans="48:50" x14ac:dyDescent="0.2">
      <c r="AV217" s="35" t="s">
        <v>140</v>
      </c>
      <c r="AW217" s="31" t="s">
        <v>272</v>
      </c>
      <c r="AX217" s="32">
        <v>35</v>
      </c>
    </row>
    <row r="218" spans="48:50" x14ac:dyDescent="0.2">
      <c r="AV218" s="35" t="s">
        <v>140</v>
      </c>
      <c r="AW218" s="31" t="s">
        <v>273</v>
      </c>
      <c r="AX218" s="32">
        <v>35</v>
      </c>
    </row>
    <row r="219" spans="48:50" x14ac:dyDescent="0.2">
      <c r="AV219" s="35" t="s">
        <v>140</v>
      </c>
      <c r="AW219" s="31" t="s">
        <v>274</v>
      </c>
      <c r="AX219" s="32">
        <v>51</v>
      </c>
    </row>
    <row r="220" spans="48:50" x14ac:dyDescent="0.2">
      <c r="AV220" s="35" t="s">
        <v>140</v>
      </c>
      <c r="AW220" s="31" t="s">
        <v>275</v>
      </c>
      <c r="AX220" s="32">
        <v>40</v>
      </c>
    </row>
    <row r="221" spans="48:50" x14ac:dyDescent="0.2">
      <c r="AV221" s="35" t="s">
        <v>140</v>
      </c>
      <c r="AW221" s="31" t="s">
        <v>276</v>
      </c>
      <c r="AX221" s="32">
        <v>47.5</v>
      </c>
    </row>
    <row r="222" spans="48:50" x14ac:dyDescent="0.2">
      <c r="AV222" s="35" t="s">
        <v>140</v>
      </c>
      <c r="AW222" s="31" t="s">
        <v>277</v>
      </c>
      <c r="AX222" s="32">
        <v>46</v>
      </c>
    </row>
    <row r="223" spans="48:50" x14ac:dyDescent="0.2">
      <c r="AV223" s="35" t="s">
        <v>140</v>
      </c>
      <c r="AW223" s="31" t="s">
        <v>278</v>
      </c>
      <c r="AX223" s="32">
        <v>58</v>
      </c>
    </row>
    <row r="224" spans="48:50" x14ac:dyDescent="0.2">
      <c r="AV224" s="35" t="s">
        <v>140</v>
      </c>
      <c r="AW224" s="31" t="s">
        <v>279</v>
      </c>
      <c r="AX224" s="32">
        <v>59</v>
      </c>
    </row>
    <row r="225" spans="48:50" x14ac:dyDescent="0.2">
      <c r="AV225" s="35" t="s">
        <v>140</v>
      </c>
      <c r="AW225" s="31" t="s">
        <v>280</v>
      </c>
      <c r="AX225" s="32">
        <v>73</v>
      </c>
    </row>
    <row r="226" spans="48:50" x14ac:dyDescent="0.2">
      <c r="AV226" s="35" t="s">
        <v>140</v>
      </c>
      <c r="AW226" s="31" t="s">
        <v>281</v>
      </c>
      <c r="AX226" s="32">
        <v>96</v>
      </c>
    </row>
    <row r="227" spans="48:50" x14ac:dyDescent="0.2">
      <c r="AV227" s="35" t="s">
        <v>140</v>
      </c>
      <c r="AW227" s="31" t="s">
        <v>282</v>
      </c>
      <c r="AX227" s="32">
        <v>135</v>
      </c>
    </row>
    <row r="228" spans="48:50" x14ac:dyDescent="0.2">
      <c r="AV228" s="36" t="s">
        <v>142</v>
      </c>
      <c r="AW228" s="31" t="s">
        <v>283</v>
      </c>
      <c r="AX228" s="32">
        <v>2</v>
      </c>
    </row>
    <row r="229" spans="48:50" x14ac:dyDescent="0.2">
      <c r="AV229" s="36" t="s">
        <v>142</v>
      </c>
      <c r="AW229" s="31" t="s">
        <v>284</v>
      </c>
      <c r="AX229" s="32">
        <v>4</v>
      </c>
    </row>
    <row r="230" spans="48:50" x14ac:dyDescent="0.2">
      <c r="AV230" s="36" t="s">
        <v>142</v>
      </c>
      <c r="AW230" s="31" t="s">
        <v>285</v>
      </c>
      <c r="AX230" s="32">
        <v>7</v>
      </c>
    </row>
    <row r="231" spans="48:50" x14ac:dyDescent="0.2">
      <c r="AV231" s="36" t="s">
        <v>142</v>
      </c>
      <c r="AW231" s="31" t="s">
        <v>286</v>
      </c>
      <c r="AX231" s="32">
        <v>9</v>
      </c>
    </row>
    <row r="232" spans="48:50" x14ac:dyDescent="0.2">
      <c r="AV232" s="36" t="s">
        <v>142</v>
      </c>
      <c r="AW232" s="31" t="s">
        <v>287</v>
      </c>
      <c r="AX232" s="32">
        <v>11</v>
      </c>
    </row>
    <row r="233" spans="48:50" x14ac:dyDescent="0.2">
      <c r="AV233" s="36" t="s">
        <v>142</v>
      </c>
      <c r="AW233" s="31" t="s">
        <v>288</v>
      </c>
      <c r="AX233" s="32">
        <v>13</v>
      </c>
    </row>
    <row r="234" spans="48:50" x14ac:dyDescent="0.2">
      <c r="AV234" s="36" t="s">
        <v>142</v>
      </c>
      <c r="AW234" s="31" t="s">
        <v>289</v>
      </c>
      <c r="AX234" s="32">
        <v>14</v>
      </c>
    </row>
    <row r="235" spans="48:50" x14ac:dyDescent="0.2">
      <c r="AV235" s="36" t="s">
        <v>142</v>
      </c>
      <c r="AW235" s="31" t="s">
        <v>290</v>
      </c>
      <c r="AX235" s="32">
        <v>15</v>
      </c>
    </row>
    <row r="236" spans="48:50" x14ac:dyDescent="0.2">
      <c r="AV236" s="36" t="s">
        <v>142</v>
      </c>
      <c r="AW236" s="31" t="s">
        <v>291</v>
      </c>
      <c r="AX236" s="32">
        <v>16</v>
      </c>
    </row>
    <row r="237" spans="48:50" x14ac:dyDescent="0.2">
      <c r="AV237" s="36" t="s">
        <v>142</v>
      </c>
      <c r="AW237" s="31" t="s">
        <v>292</v>
      </c>
      <c r="AX237" s="32">
        <v>17</v>
      </c>
    </row>
    <row r="238" spans="48:50" x14ac:dyDescent="0.2">
      <c r="AV238" s="36" t="s">
        <v>142</v>
      </c>
      <c r="AW238" s="31" t="s">
        <v>293</v>
      </c>
      <c r="AX238" s="32">
        <v>18</v>
      </c>
    </row>
    <row r="239" spans="48:50" x14ac:dyDescent="0.2">
      <c r="AV239" s="36" t="s">
        <v>142</v>
      </c>
      <c r="AW239" s="31" t="s">
        <v>294</v>
      </c>
      <c r="AX239" s="32">
        <v>20</v>
      </c>
    </row>
    <row r="240" spans="48:50" x14ac:dyDescent="0.2">
      <c r="AV240" s="36" t="s">
        <v>142</v>
      </c>
      <c r="AW240" s="31" t="s">
        <v>295</v>
      </c>
      <c r="AX240" s="32">
        <v>23</v>
      </c>
    </row>
    <row r="241" spans="48:50" x14ac:dyDescent="0.2">
      <c r="AV241" s="36" t="s">
        <v>142</v>
      </c>
      <c r="AW241" s="31" t="s">
        <v>296</v>
      </c>
      <c r="AX241" s="32">
        <v>25</v>
      </c>
    </row>
    <row r="242" spans="48:50" x14ac:dyDescent="0.2">
      <c r="AV242" s="36" t="s">
        <v>142</v>
      </c>
      <c r="AW242" s="31" t="s">
        <v>297</v>
      </c>
      <c r="AX242" s="32">
        <v>26</v>
      </c>
    </row>
    <row r="243" spans="48:50" x14ac:dyDescent="0.2">
      <c r="AV243" s="36" t="s">
        <v>142</v>
      </c>
      <c r="AW243" s="31" t="s">
        <v>298</v>
      </c>
      <c r="AX243" s="32">
        <v>27</v>
      </c>
    </row>
    <row r="244" spans="48:50" x14ac:dyDescent="0.2">
      <c r="AV244" s="36" t="s">
        <v>142</v>
      </c>
      <c r="AW244" s="31" t="s">
        <v>299</v>
      </c>
      <c r="AX244" s="32">
        <v>28</v>
      </c>
    </row>
    <row r="245" spans="48:50" x14ac:dyDescent="0.2">
      <c r="AV245" s="36" t="s">
        <v>142</v>
      </c>
      <c r="AW245" s="31" t="s">
        <v>300</v>
      </c>
      <c r="AX245" s="32">
        <v>32</v>
      </c>
    </row>
    <row r="246" spans="48:50" x14ac:dyDescent="0.2">
      <c r="AV246" s="36" t="s">
        <v>142</v>
      </c>
      <c r="AW246" s="31" t="s">
        <v>301</v>
      </c>
      <c r="AX246" s="32">
        <v>42</v>
      </c>
    </row>
    <row r="247" spans="48:50" x14ac:dyDescent="0.2">
      <c r="AV247" s="36" t="s">
        <v>142</v>
      </c>
      <c r="AW247" s="31" t="s">
        <v>302</v>
      </c>
      <c r="AX247" s="32">
        <v>44</v>
      </c>
    </row>
    <row r="248" spans="48:50" x14ac:dyDescent="0.2">
      <c r="AV248" s="36" t="s">
        <v>142</v>
      </c>
      <c r="AW248" s="31" t="s">
        <v>303</v>
      </c>
      <c r="AX248" s="32">
        <v>59</v>
      </c>
    </row>
    <row r="249" spans="48:50" x14ac:dyDescent="0.2">
      <c r="AV249" s="36" t="s">
        <v>142</v>
      </c>
      <c r="AW249" s="31" t="s">
        <v>304</v>
      </c>
      <c r="AX249" s="32">
        <v>82.5</v>
      </c>
    </row>
    <row r="250" spans="48:50" x14ac:dyDescent="0.2">
      <c r="AV250" s="36" t="s">
        <v>142</v>
      </c>
      <c r="AW250" s="31" t="s">
        <v>305</v>
      </c>
      <c r="AX250" s="32">
        <v>88.5</v>
      </c>
    </row>
    <row r="251" spans="48:50" x14ac:dyDescent="0.2">
      <c r="AV251" s="36" t="s">
        <v>142</v>
      </c>
      <c r="AW251" s="31" t="s">
        <v>306</v>
      </c>
      <c r="AX251" s="32">
        <v>112.33333333333333</v>
      </c>
    </row>
    <row r="252" spans="48:50" x14ac:dyDescent="0.2">
      <c r="AV252" s="36" t="s">
        <v>142</v>
      </c>
      <c r="AW252" s="31" t="s">
        <v>307</v>
      </c>
      <c r="AX252" s="32">
        <v>150</v>
      </c>
    </row>
    <row r="253" spans="48:50" x14ac:dyDescent="0.2">
      <c r="AV253" s="36" t="s">
        <v>142</v>
      </c>
      <c r="AW253" s="31" t="s">
        <v>308</v>
      </c>
      <c r="AX253" s="32">
        <v>200</v>
      </c>
    </row>
    <row r="254" spans="48:50" x14ac:dyDescent="0.2">
      <c r="AV254" s="33" t="s">
        <v>144</v>
      </c>
      <c r="AW254" s="31" t="s">
        <v>309</v>
      </c>
      <c r="AX254" s="32">
        <v>3</v>
      </c>
    </row>
    <row r="255" spans="48:50" x14ac:dyDescent="0.2">
      <c r="AV255" s="33" t="s">
        <v>144</v>
      </c>
      <c r="AW255" s="31" t="s">
        <v>310</v>
      </c>
      <c r="AX255" s="32">
        <v>4</v>
      </c>
    </row>
    <row r="256" spans="48:50" x14ac:dyDescent="0.2">
      <c r="AV256" s="33" t="s">
        <v>144</v>
      </c>
      <c r="AW256" s="31" t="s">
        <v>311</v>
      </c>
      <c r="AX256" s="32">
        <v>5</v>
      </c>
    </row>
    <row r="257" spans="48:52" x14ac:dyDescent="0.2">
      <c r="AV257" s="33" t="s">
        <v>144</v>
      </c>
      <c r="AW257" s="31" t="s">
        <v>312</v>
      </c>
      <c r="AX257" s="32">
        <v>8</v>
      </c>
    </row>
    <row r="258" spans="48:52" x14ac:dyDescent="0.2">
      <c r="AV258" s="37" t="s">
        <v>146</v>
      </c>
      <c r="AW258" s="31" t="s">
        <v>313</v>
      </c>
      <c r="AX258" s="32">
        <v>9</v>
      </c>
    </row>
    <row r="259" spans="48:52" x14ac:dyDescent="0.2">
      <c r="AV259" s="37" t="s">
        <v>146</v>
      </c>
      <c r="AW259" s="31" t="s">
        <v>314</v>
      </c>
      <c r="AX259" s="32">
        <v>20</v>
      </c>
    </row>
    <row r="260" spans="48:52" x14ac:dyDescent="0.2">
      <c r="AV260" s="37" t="s">
        <v>146</v>
      </c>
      <c r="AW260" s="31" t="s">
        <v>315</v>
      </c>
      <c r="AX260" s="32">
        <v>13</v>
      </c>
    </row>
    <row r="261" spans="48:52" x14ac:dyDescent="0.2">
      <c r="AV261" s="37" t="s">
        <v>146</v>
      </c>
      <c r="AW261" s="31" t="s">
        <v>316</v>
      </c>
      <c r="AX261" s="32">
        <v>26</v>
      </c>
    </row>
    <row r="262" spans="48:52" x14ac:dyDescent="0.2">
      <c r="AV262" s="37" t="s">
        <v>146</v>
      </c>
      <c r="AW262" s="31" t="s">
        <v>317</v>
      </c>
      <c r="AX262" s="32">
        <v>10</v>
      </c>
    </row>
    <row r="263" spans="48:52" x14ac:dyDescent="0.2">
      <c r="AV263" s="37" t="s">
        <v>146</v>
      </c>
      <c r="AW263" s="31" t="s">
        <v>318</v>
      </c>
      <c r="AX263" s="32">
        <v>21</v>
      </c>
    </row>
    <row r="264" spans="48:52" x14ac:dyDescent="0.2">
      <c r="AV264" s="37" t="s">
        <v>146</v>
      </c>
      <c r="AW264" s="31" t="s">
        <v>319</v>
      </c>
      <c r="AX264" s="32">
        <v>12</v>
      </c>
    </row>
    <row r="265" spans="48:52" x14ac:dyDescent="0.2">
      <c r="AV265" s="37" t="s">
        <v>146</v>
      </c>
      <c r="AW265" s="31" t="s">
        <v>320</v>
      </c>
      <c r="AX265" s="32">
        <v>24</v>
      </c>
    </row>
    <row r="266" spans="48:52" x14ac:dyDescent="0.2">
      <c r="AV266" s="37" t="s">
        <v>146</v>
      </c>
      <c r="AW266" s="31" t="s">
        <v>321</v>
      </c>
      <c r="AX266" s="32">
        <v>12</v>
      </c>
    </row>
    <row r="267" spans="48:52" x14ac:dyDescent="0.2">
      <c r="AV267" s="37" t="s">
        <v>146</v>
      </c>
      <c r="AW267" s="31" t="s">
        <v>322</v>
      </c>
      <c r="AX267" s="32">
        <v>20</v>
      </c>
    </row>
    <row r="268" spans="48:52" x14ac:dyDescent="0.2">
      <c r="AV268" s="37" t="s">
        <v>146</v>
      </c>
      <c r="AW268" s="31" t="s">
        <v>323</v>
      </c>
      <c r="AX268" s="38">
        <v>2</v>
      </c>
    </row>
    <row r="269" spans="48:52" x14ac:dyDescent="0.2">
      <c r="AV269" s="37" t="s">
        <v>146</v>
      </c>
      <c r="AW269" s="31" t="s">
        <v>324</v>
      </c>
      <c r="AX269" s="38">
        <v>4</v>
      </c>
    </row>
    <row r="270" spans="48:52" x14ac:dyDescent="0.2">
      <c r="AV270" s="37" t="s">
        <v>146</v>
      </c>
      <c r="AW270" s="31" t="s">
        <v>325</v>
      </c>
      <c r="AX270" s="32">
        <v>3</v>
      </c>
      <c r="AY270" s="28" t="s">
        <v>326</v>
      </c>
      <c r="AZ270" s="28" t="s">
        <v>327</v>
      </c>
    </row>
    <row r="271" spans="48:52" x14ac:dyDescent="0.2">
      <c r="AV271" s="39" t="s">
        <v>148</v>
      </c>
      <c r="AW271" s="31" t="s">
        <v>328</v>
      </c>
      <c r="AX271" s="32">
        <v>20</v>
      </c>
      <c r="AY271" s="32">
        <v>20</v>
      </c>
      <c r="AZ271" s="40" t="s">
        <v>329</v>
      </c>
    </row>
    <row r="272" spans="48:52" x14ac:dyDescent="0.2">
      <c r="AV272" s="39" t="s">
        <v>148</v>
      </c>
      <c r="AW272" s="31" t="s">
        <v>330</v>
      </c>
      <c r="AX272" s="32">
        <v>38.5</v>
      </c>
      <c r="AY272" s="32">
        <v>38</v>
      </c>
      <c r="AZ272" s="40" t="s">
        <v>331</v>
      </c>
    </row>
    <row r="273" spans="48:52" x14ac:dyDescent="0.2">
      <c r="AV273" s="41" t="s">
        <v>332</v>
      </c>
      <c r="AW273" s="31" t="s">
        <v>333</v>
      </c>
      <c r="AX273" s="32">
        <v>22.8</v>
      </c>
      <c r="AY273" s="32">
        <v>20</v>
      </c>
      <c r="AZ273" s="40" t="s">
        <v>334</v>
      </c>
    </row>
    <row r="274" spans="48:52" x14ac:dyDescent="0.2">
      <c r="AV274" s="41" t="s">
        <v>332</v>
      </c>
      <c r="AW274" s="31" t="s">
        <v>335</v>
      </c>
      <c r="AX274" s="32">
        <v>51.7</v>
      </c>
      <c r="AY274" s="32">
        <v>36</v>
      </c>
      <c r="AZ274" s="40" t="s">
        <v>336</v>
      </c>
    </row>
    <row r="275" spans="48:52" x14ac:dyDescent="0.2">
      <c r="AV275" s="41" t="s">
        <v>332</v>
      </c>
      <c r="AW275" s="31" t="s">
        <v>337</v>
      </c>
      <c r="AX275" s="32">
        <v>67.5</v>
      </c>
      <c r="AY275" s="32">
        <v>52</v>
      </c>
      <c r="AZ275" s="40" t="s">
        <v>338</v>
      </c>
    </row>
    <row r="276" spans="48:52" x14ac:dyDescent="0.2">
      <c r="AV276" s="41" t="s">
        <v>332</v>
      </c>
      <c r="AW276" s="31" t="s">
        <v>339</v>
      </c>
      <c r="AX276" s="32">
        <v>95.5</v>
      </c>
      <c r="AY276" s="32">
        <v>66</v>
      </c>
      <c r="AZ276" s="40" t="s">
        <v>340</v>
      </c>
    </row>
    <row r="277" spans="48:52" x14ac:dyDescent="0.2">
      <c r="AV277" s="41" t="s">
        <v>332</v>
      </c>
      <c r="AW277" s="31" t="s">
        <v>341</v>
      </c>
      <c r="AX277" s="32">
        <v>146</v>
      </c>
      <c r="AY277" s="32">
        <v>102</v>
      </c>
      <c r="AZ277" s="40" t="s">
        <v>342</v>
      </c>
    </row>
    <row r="278" spans="48:52" x14ac:dyDescent="0.2">
      <c r="AV278" s="41" t="s">
        <v>332</v>
      </c>
      <c r="AW278" s="31" t="s">
        <v>343</v>
      </c>
      <c r="AX278" s="32">
        <v>63</v>
      </c>
      <c r="AY278" s="32">
        <v>63</v>
      </c>
      <c r="AZ278" s="42" t="s">
        <v>344</v>
      </c>
    </row>
    <row r="279" spans="48:52" x14ac:dyDescent="0.2">
      <c r="AV279" s="41" t="s">
        <v>332</v>
      </c>
      <c r="AW279" s="31" t="s">
        <v>345</v>
      </c>
      <c r="AX279" s="32">
        <v>92.4</v>
      </c>
      <c r="AY279" s="32">
        <v>92.4</v>
      </c>
      <c r="AZ279" s="42" t="s">
        <v>344</v>
      </c>
    </row>
    <row r="280" spans="48:52" x14ac:dyDescent="0.2">
      <c r="AV280" s="43" t="s">
        <v>346</v>
      </c>
      <c r="AW280" s="31" t="s">
        <v>347</v>
      </c>
      <c r="AX280" s="32">
        <v>31</v>
      </c>
      <c r="AY280" s="32">
        <v>27</v>
      </c>
      <c r="AZ280" s="40" t="s">
        <v>348</v>
      </c>
    </row>
    <row r="281" spans="48:52" x14ac:dyDescent="0.2">
      <c r="AV281" s="43" t="s">
        <v>346</v>
      </c>
      <c r="AW281" s="31" t="s">
        <v>349</v>
      </c>
      <c r="AX281" s="32">
        <v>64.333333333333329</v>
      </c>
      <c r="AY281" s="32">
        <v>50</v>
      </c>
      <c r="AZ281" s="40" t="s">
        <v>350</v>
      </c>
    </row>
    <row r="282" spans="48:52" x14ac:dyDescent="0.2">
      <c r="AV282" s="43" t="s">
        <v>346</v>
      </c>
      <c r="AW282" s="31" t="s">
        <v>351</v>
      </c>
      <c r="AX282" s="32">
        <v>98.333333333333329</v>
      </c>
      <c r="AY282" s="32">
        <v>73</v>
      </c>
      <c r="AZ282" s="40" t="s">
        <v>352</v>
      </c>
    </row>
    <row r="283" spans="48:52" x14ac:dyDescent="0.2">
      <c r="AV283" s="43" t="s">
        <v>346</v>
      </c>
      <c r="AW283" s="31" t="s">
        <v>353</v>
      </c>
      <c r="AX283" s="32">
        <v>132</v>
      </c>
      <c r="AY283" s="32">
        <v>96</v>
      </c>
      <c r="AZ283" s="40" t="s">
        <v>354</v>
      </c>
    </row>
    <row r="284" spans="48:52" x14ac:dyDescent="0.2">
      <c r="AV284" s="43" t="s">
        <v>346</v>
      </c>
      <c r="AW284" s="31" t="s">
        <v>355</v>
      </c>
      <c r="AX284" s="32">
        <v>198</v>
      </c>
      <c r="AY284" s="32">
        <v>135</v>
      </c>
      <c r="AZ284" s="40" t="s">
        <v>356</v>
      </c>
    </row>
    <row r="285" spans="48:52" x14ac:dyDescent="0.2">
      <c r="AV285" s="43" t="s">
        <v>346</v>
      </c>
      <c r="AW285" s="31" t="s">
        <v>357</v>
      </c>
      <c r="AX285" s="32">
        <v>38.56666666666667</v>
      </c>
      <c r="AY285" s="32">
        <v>27</v>
      </c>
      <c r="AZ285" s="40" t="s">
        <v>348</v>
      </c>
    </row>
    <row r="286" spans="48:52" x14ac:dyDescent="0.2">
      <c r="AV286" s="43" t="s">
        <v>346</v>
      </c>
      <c r="AW286" s="31" t="s">
        <v>358</v>
      </c>
      <c r="AX286" s="32">
        <v>70</v>
      </c>
      <c r="AY286" s="32">
        <v>50</v>
      </c>
      <c r="AZ286" s="40" t="s">
        <v>350</v>
      </c>
    </row>
    <row r="287" spans="48:52" x14ac:dyDescent="0.2">
      <c r="AV287" s="43" t="s">
        <v>346</v>
      </c>
      <c r="AW287" s="31" t="s">
        <v>359</v>
      </c>
      <c r="AX287" s="32">
        <v>110</v>
      </c>
      <c r="AY287" s="32">
        <v>73</v>
      </c>
      <c r="AZ287" s="40" t="s">
        <v>352</v>
      </c>
    </row>
    <row r="288" spans="48:52" x14ac:dyDescent="0.2">
      <c r="AV288" s="43" t="s">
        <v>346</v>
      </c>
      <c r="AW288" s="31" t="s">
        <v>360</v>
      </c>
      <c r="AX288" s="32">
        <v>144</v>
      </c>
      <c r="AY288" s="32">
        <v>96</v>
      </c>
      <c r="AZ288" s="40" t="s">
        <v>354</v>
      </c>
    </row>
    <row r="289" spans="48:52" x14ac:dyDescent="0.2">
      <c r="AV289" s="43" t="s">
        <v>346</v>
      </c>
      <c r="AW289" s="31" t="s">
        <v>361</v>
      </c>
      <c r="AX289" s="32">
        <v>225</v>
      </c>
      <c r="AY289" s="32">
        <v>135</v>
      </c>
      <c r="AZ289" s="40" t="s">
        <v>356</v>
      </c>
    </row>
    <row r="290" spans="48:52" x14ac:dyDescent="0.2">
      <c r="AV290" s="43" t="s">
        <v>346</v>
      </c>
      <c r="AW290" s="31" t="s">
        <v>362</v>
      </c>
      <c r="AX290" s="32">
        <v>71</v>
      </c>
      <c r="AY290" s="32">
        <v>71</v>
      </c>
      <c r="AZ290" s="42" t="s">
        <v>344</v>
      </c>
    </row>
    <row r="291" spans="48:52" x14ac:dyDescent="0.2">
      <c r="AV291" s="43" t="s">
        <v>346</v>
      </c>
      <c r="AW291" s="31" t="s">
        <v>363</v>
      </c>
      <c r="AX291" s="32">
        <v>112</v>
      </c>
      <c r="AY291" s="32">
        <v>112</v>
      </c>
      <c r="AZ291" s="42" t="s">
        <v>344</v>
      </c>
    </row>
    <row r="292" spans="48:52" x14ac:dyDescent="0.2">
      <c r="AV292" s="39" t="s">
        <v>364</v>
      </c>
      <c r="AW292" s="31" t="s">
        <v>365</v>
      </c>
      <c r="AX292" s="32">
        <v>38.666666666666664</v>
      </c>
      <c r="AY292" s="32">
        <v>33</v>
      </c>
      <c r="AZ292" s="44" t="s">
        <v>366</v>
      </c>
    </row>
    <row r="293" spans="48:52" x14ac:dyDescent="0.2">
      <c r="AV293" s="39" t="s">
        <v>364</v>
      </c>
      <c r="AW293" s="31" t="s">
        <v>367</v>
      </c>
      <c r="AX293" s="32">
        <v>66.333333333333329</v>
      </c>
      <c r="AY293" s="32">
        <v>61</v>
      </c>
      <c r="AZ293" s="44" t="s">
        <v>368</v>
      </c>
    </row>
    <row r="294" spans="48:52" x14ac:dyDescent="0.2">
      <c r="AV294" s="39" t="s">
        <v>364</v>
      </c>
      <c r="AW294" s="31" t="s">
        <v>369</v>
      </c>
      <c r="AX294" s="32">
        <v>103.33333333333333</v>
      </c>
      <c r="AY294" s="32">
        <v>91</v>
      </c>
      <c r="AZ294" s="44" t="s">
        <v>370</v>
      </c>
    </row>
    <row r="295" spans="48:52" x14ac:dyDescent="0.2">
      <c r="AV295" s="39" t="s">
        <v>364</v>
      </c>
      <c r="AW295" s="31" t="s">
        <v>371</v>
      </c>
      <c r="AX295" s="32">
        <v>135.66666666666666</v>
      </c>
      <c r="AY295" s="32">
        <v>120</v>
      </c>
      <c r="AZ295" s="44" t="s">
        <v>372</v>
      </c>
    </row>
    <row r="296" spans="48:52" x14ac:dyDescent="0.2">
      <c r="AV296" s="39" t="s">
        <v>364</v>
      </c>
      <c r="AW296" s="31" t="s">
        <v>373</v>
      </c>
      <c r="AX296" s="32">
        <v>39.299999999999997</v>
      </c>
      <c r="AY296" s="32">
        <v>33</v>
      </c>
      <c r="AZ296" s="44" t="s">
        <v>366</v>
      </c>
    </row>
    <row r="297" spans="48:52" x14ac:dyDescent="0.2">
      <c r="AV297" s="39" t="s">
        <v>364</v>
      </c>
      <c r="AW297" s="31" t="s">
        <v>374</v>
      </c>
      <c r="AX297" s="32">
        <v>78.75</v>
      </c>
      <c r="AY297" s="32">
        <v>61</v>
      </c>
      <c r="AZ297" s="44" t="s">
        <v>368</v>
      </c>
    </row>
    <row r="298" spans="48:52" x14ac:dyDescent="0.2">
      <c r="AV298" s="39" t="s">
        <v>364</v>
      </c>
      <c r="AW298" s="31" t="s">
        <v>375</v>
      </c>
      <c r="AX298" s="32">
        <v>124</v>
      </c>
      <c r="AY298" s="32">
        <v>91</v>
      </c>
      <c r="AZ298" s="44" t="s">
        <v>370</v>
      </c>
    </row>
    <row r="299" spans="48:52" x14ac:dyDescent="0.2">
      <c r="AV299" s="39" t="s">
        <v>364</v>
      </c>
      <c r="AW299" s="31" t="s">
        <v>376</v>
      </c>
      <c r="AX299" s="32">
        <v>153</v>
      </c>
      <c r="AY299" s="32">
        <v>120</v>
      </c>
      <c r="AZ299" s="44" t="s">
        <v>372</v>
      </c>
    </row>
    <row r="300" spans="48:52" x14ac:dyDescent="0.2">
      <c r="AV300" s="39" t="s">
        <v>364</v>
      </c>
      <c r="AW300" s="31" t="s">
        <v>377</v>
      </c>
      <c r="AX300" s="32">
        <v>186</v>
      </c>
      <c r="AY300" s="32">
        <v>174</v>
      </c>
      <c r="AZ300" s="44" t="s">
        <v>378</v>
      </c>
    </row>
    <row r="301" spans="48:52" x14ac:dyDescent="0.2">
      <c r="AV301" s="39" t="s">
        <v>364</v>
      </c>
      <c r="AW301" s="31" t="s">
        <v>379</v>
      </c>
      <c r="AX301" s="32">
        <v>76.3</v>
      </c>
      <c r="AY301" s="32">
        <v>76.3</v>
      </c>
      <c r="AZ301" s="42" t="s">
        <v>344</v>
      </c>
    </row>
    <row r="302" spans="48:52" x14ac:dyDescent="0.2">
      <c r="AV302" s="39" t="s">
        <v>364</v>
      </c>
      <c r="AW302" s="31" t="s">
        <v>380</v>
      </c>
      <c r="AX302" s="32">
        <v>134.26666666666668</v>
      </c>
      <c r="AY302" s="32">
        <v>134.26666666666668</v>
      </c>
      <c r="AZ302" s="42" t="s">
        <v>344</v>
      </c>
    </row>
    <row r="303" spans="48:52" x14ac:dyDescent="0.2">
      <c r="AV303" s="39" t="s">
        <v>364</v>
      </c>
      <c r="AW303" s="31" t="s">
        <v>381</v>
      </c>
      <c r="AX303" s="32">
        <v>216.8</v>
      </c>
      <c r="AY303" s="32">
        <v>216.8</v>
      </c>
      <c r="AZ303" s="42" t="s">
        <v>344</v>
      </c>
    </row>
    <row r="304" spans="48:52" x14ac:dyDescent="0.2">
      <c r="AV304" s="39" t="s">
        <v>364</v>
      </c>
      <c r="AW304" s="31" t="s">
        <v>382</v>
      </c>
      <c r="AX304" s="32">
        <v>276.3</v>
      </c>
      <c r="AY304" s="32">
        <v>276.3</v>
      </c>
      <c r="AZ304" s="42" t="s">
        <v>344</v>
      </c>
    </row>
    <row r="305" spans="48:52" x14ac:dyDescent="0.2">
      <c r="AV305" s="39" t="s">
        <v>364</v>
      </c>
      <c r="AW305" s="31" t="s">
        <v>383</v>
      </c>
      <c r="AX305" s="32">
        <v>140</v>
      </c>
      <c r="AY305" s="32">
        <v>140</v>
      </c>
      <c r="AZ305" s="42" t="s">
        <v>344</v>
      </c>
    </row>
    <row r="306" spans="48:52" x14ac:dyDescent="0.2">
      <c r="AV306" s="39" t="s">
        <v>364</v>
      </c>
      <c r="AW306" s="31" t="s">
        <v>384</v>
      </c>
      <c r="AX306" s="32">
        <v>252</v>
      </c>
      <c r="AY306" s="32">
        <v>252</v>
      </c>
      <c r="AZ306" s="42" t="s">
        <v>344</v>
      </c>
    </row>
    <row r="307" spans="48:52" x14ac:dyDescent="0.2">
      <c r="AV307" s="39" t="s">
        <v>364</v>
      </c>
      <c r="AW307" s="31" t="s">
        <v>385</v>
      </c>
      <c r="AX307" s="32">
        <v>377</v>
      </c>
      <c r="AY307" s="32">
        <v>377</v>
      </c>
      <c r="AZ307" s="42" t="s">
        <v>344</v>
      </c>
    </row>
    <row r="308" spans="48:52" x14ac:dyDescent="0.2">
      <c r="AV308" s="39" t="s">
        <v>364</v>
      </c>
      <c r="AW308" s="31" t="s">
        <v>386</v>
      </c>
      <c r="AX308" s="32">
        <v>484</v>
      </c>
      <c r="AY308" s="32">
        <v>484</v>
      </c>
      <c r="AZ308" s="42" t="s">
        <v>344</v>
      </c>
    </row>
    <row r="309" spans="48:52" x14ac:dyDescent="0.2">
      <c r="AV309" s="45" t="s">
        <v>156</v>
      </c>
      <c r="AW309" s="31" t="s">
        <v>387</v>
      </c>
      <c r="AX309" s="32">
        <v>53.5</v>
      </c>
      <c r="AY309" s="32">
        <v>36</v>
      </c>
      <c r="AZ309" s="46" t="s">
        <v>388</v>
      </c>
    </row>
    <row r="310" spans="48:52" x14ac:dyDescent="0.2">
      <c r="AV310" s="45" t="s">
        <v>156</v>
      </c>
      <c r="AW310" s="31" t="s">
        <v>389</v>
      </c>
      <c r="AX310" s="32">
        <v>108</v>
      </c>
      <c r="AY310" s="32">
        <v>72</v>
      </c>
      <c r="AZ310" s="46" t="s">
        <v>390</v>
      </c>
    </row>
    <row r="311" spans="48:52" x14ac:dyDescent="0.2">
      <c r="AV311" s="47" t="s">
        <v>158</v>
      </c>
      <c r="AW311" s="31" t="s">
        <v>391</v>
      </c>
      <c r="AX311" s="32">
        <v>73.033333333333331</v>
      </c>
      <c r="AY311" s="32">
        <v>51</v>
      </c>
      <c r="AZ311" s="46" t="s">
        <v>392</v>
      </c>
    </row>
    <row r="312" spans="48:52" x14ac:dyDescent="0.2">
      <c r="AV312" s="47" t="s">
        <v>158</v>
      </c>
      <c r="AW312" s="31" t="s">
        <v>393</v>
      </c>
      <c r="AX312" s="32">
        <v>114.33333333333333</v>
      </c>
      <c r="AY312" s="32">
        <v>92.5</v>
      </c>
      <c r="AZ312" s="46" t="s">
        <v>394</v>
      </c>
    </row>
    <row r="313" spans="48:52" x14ac:dyDescent="0.2">
      <c r="AV313" s="47" t="s">
        <v>158</v>
      </c>
      <c r="AW313" s="31" t="s">
        <v>395</v>
      </c>
      <c r="AX313" s="32">
        <v>189</v>
      </c>
      <c r="AY313" s="32">
        <v>143.5</v>
      </c>
      <c r="AZ313" s="46" t="s">
        <v>396</v>
      </c>
    </row>
    <row r="314" spans="48:52" x14ac:dyDescent="0.2">
      <c r="AV314" s="47" t="s">
        <v>158</v>
      </c>
      <c r="AW314" s="31" t="s">
        <v>397</v>
      </c>
      <c r="AX314" s="32">
        <v>230</v>
      </c>
      <c r="AY314" s="32">
        <v>185</v>
      </c>
      <c r="AZ314" s="46" t="s">
        <v>398</v>
      </c>
    </row>
    <row r="315" spans="48:52" x14ac:dyDescent="0.2">
      <c r="AV315" s="48" t="s">
        <v>399</v>
      </c>
      <c r="AW315" s="31" t="s">
        <v>400</v>
      </c>
      <c r="AX315" s="32">
        <v>68.833333333333329</v>
      </c>
      <c r="AY315" s="32">
        <v>61</v>
      </c>
      <c r="AZ315" s="40" t="s">
        <v>401</v>
      </c>
    </row>
    <row r="316" spans="48:52" x14ac:dyDescent="0.2">
      <c r="AV316" s="48" t="s">
        <v>399</v>
      </c>
      <c r="AW316" s="31" t="s">
        <v>402</v>
      </c>
      <c r="AX316" s="32">
        <v>109.33333333333333</v>
      </c>
      <c r="AY316" s="32">
        <v>107</v>
      </c>
      <c r="AZ316" s="40" t="s">
        <v>403</v>
      </c>
    </row>
    <row r="317" spans="48:52" x14ac:dyDescent="0.2">
      <c r="AV317" s="48" t="s">
        <v>399</v>
      </c>
      <c r="AW317" s="31" t="s">
        <v>404</v>
      </c>
      <c r="AX317" s="32">
        <v>179</v>
      </c>
      <c r="AY317" s="32">
        <v>167</v>
      </c>
      <c r="AZ317" s="40" t="s">
        <v>405</v>
      </c>
    </row>
    <row r="318" spans="48:52" x14ac:dyDescent="0.2">
      <c r="AV318" s="48" t="s">
        <v>399</v>
      </c>
      <c r="AW318" s="31" t="s">
        <v>406</v>
      </c>
      <c r="AX318" s="32">
        <v>233</v>
      </c>
      <c r="AY318" s="32">
        <v>219</v>
      </c>
      <c r="AZ318" s="40" t="s">
        <v>407</v>
      </c>
    </row>
    <row r="319" spans="48:52" x14ac:dyDescent="0.2">
      <c r="AV319" s="48" t="s">
        <v>399</v>
      </c>
      <c r="AW319" s="31" t="s">
        <v>408</v>
      </c>
      <c r="AX319" s="32">
        <v>114.5</v>
      </c>
      <c r="AY319" s="32">
        <v>114.5</v>
      </c>
      <c r="AZ319" s="42" t="s">
        <v>344</v>
      </c>
    </row>
    <row r="320" spans="48:52" x14ac:dyDescent="0.2">
      <c r="AV320" s="48" t="s">
        <v>399</v>
      </c>
      <c r="AW320" s="31" t="s">
        <v>409</v>
      </c>
      <c r="AX320" s="32">
        <v>189.6</v>
      </c>
      <c r="AY320" s="32">
        <v>189.6</v>
      </c>
      <c r="AZ320" s="42" t="s">
        <v>344</v>
      </c>
    </row>
    <row r="321" spans="48:52" x14ac:dyDescent="0.2">
      <c r="AV321" s="48" t="s">
        <v>399</v>
      </c>
      <c r="AW321" s="31" t="s">
        <v>410</v>
      </c>
      <c r="AX321" s="32">
        <v>319</v>
      </c>
      <c r="AY321" s="32">
        <v>319</v>
      </c>
      <c r="AZ321" s="42" t="s">
        <v>344</v>
      </c>
    </row>
    <row r="322" spans="48:52" x14ac:dyDescent="0.2">
      <c r="AV322" s="48" t="s">
        <v>399</v>
      </c>
      <c r="AW322" s="31" t="s">
        <v>411</v>
      </c>
      <c r="AX322" s="32">
        <v>414</v>
      </c>
      <c r="AY322" s="32">
        <v>414</v>
      </c>
      <c r="AZ322" s="42" t="s">
        <v>344</v>
      </c>
    </row>
    <row r="323" spans="48:52" x14ac:dyDescent="0.2">
      <c r="AV323" s="48" t="s">
        <v>399</v>
      </c>
      <c r="AW323" s="31" t="s">
        <v>412</v>
      </c>
      <c r="AX323" s="32">
        <v>201.5</v>
      </c>
      <c r="AY323" s="32">
        <v>201.5</v>
      </c>
      <c r="AZ323" s="42" t="s">
        <v>344</v>
      </c>
    </row>
    <row r="324" spans="48:52" x14ac:dyDescent="0.2">
      <c r="AV324" s="48" t="s">
        <v>399</v>
      </c>
      <c r="AW324" s="31" t="s">
        <v>413</v>
      </c>
      <c r="AX324" s="32">
        <v>389.15</v>
      </c>
      <c r="AY324" s="32">
        <v>389.15</v>
      </c>
      <c r="AZ324" s="42" t="s">
        <v>344</v>
      </c>
    </row>
    <row r="325" spans="48:52" x14ac:dyDescent="0.2">
      <c r="AV325" s="48" t="s">
        <v>399</v>
      </c>
      <c r="AW325" s="31" t="s">
        <v>414</v>
      </c>
      <c r="AX325" s="32">
        <v>567.5</v>
      </c>
      <c r="AY325" s="32">
        <v>567.5</v>
      </c>
      <c r="AZ325" s="42" t="s">
        <v>344</v>
      </c>
    </row>
    <row r="326" spans="48:52" x14ac:dyDescent="0.2">
      <c r="AV326" s="48" t="s">
        <v>399</v>
      </c>
      <c r="AW326" s="31" t="s">
        <v>415</v>
      </c>
      <c r="AX326" s="32">
        <v>760</v>
      </c>
      <c r="AY326" s="32">
        <v>760</v>
      </c>
      <c r="AZ326" s="42" t="s">
        <v>344</v>
      </c>
    </row>
    <row r="327" spans="48:52" x14ac:dyDescent="0.2">
      <c r="AV327" s="30" t="s">
        <v>162</v>
      </c>
      <c r="AW327" s="31" t="s">
        <v>416</v>
      </c>
      <c r="AX327" s="32">
        <v>43</v>
      </c>
      <c r="AY327" s="32">
        <v>29</v>
      </c>
      <c r="AZ327" s="40" t="s">
        <v>417</v>
      </c>
    </row>
    <row r="328" spans="48:52" x14ac:dyDescent="0.2">
      <c r="AV328" s="30" t="s">
        <v>162</v>
      </c>
      <c r="AW328" s="31" t="s">
        <v>418</v>
      </c>
      <c r="AX328" s="32">
        <v>72</v>
      </c>
      <c r="AY328" s="32">
        <v>55</v>
      </c>
      <c r="AZ328" s="40" t="s">
        <v>419</v>
      </c>
    </row>
    <row r="329" spans="48:52" x14ac:dyDescent="0.2">
      <c r="AV329" s="30" t="s">
        <v>162</v>
      </c>
      <c r="AW329" s="31" t="s">
        <v>420</v>
      </c>
      <c r="AX329" s="32">
        <v>115</v>
      </c>
      <c r="AY329" s="32">
        <v>81</v>
      </c>
      <c r="AZ329" s="40" t="s">
        <v>421</v>
      </c>
    </row>
    <row r="330" spans="48:52" x14ac:dyDescent="0.2">
      <c r="AV330" s="49" t="s">
        <v>164</v>
      </c>
      <c r="AW330" s="31" t="s">
        <v>422</v>
      </c>
      <c r="AX330" s="32">
        <v>16</v>
      </c>
    </row>
    <row r="331" spans="48:52" x14ac:dyDescent="0.2">
      <c r="AV331" s="49" t="s">
        <v>164</v>
      </c>
      <c r="AW331" s="31" t="s">
        <v>423</v>
      </c>
      <c r="AX331" s="32">
        <v>30.5</v>
      </c>
    </row>
    <row r="332" spans="48:52" x14ac:dyDescent="0.2">
      <c r="AV332" s="49" t="s">
        <v>164</v>
      </c>
      <c r="AW332" s="31" t="s">
        <v>424</v>
      </c>
      <c r="AX332" s="32">
        <v>51</v>
      </c>
    </row>
    <row r="333" spans="48:52" x14ac:dyDescent="0.2">
      <c r="AV333" s="49" t="s">
        <v>164</v>
      </c>
      <c r="AW333" s="31" t="s">
        <v>425</v>
      </c>
      <c r="AX333" s="32">
        <v>66</v>
      </c>
    </row>
    <row r="334" spans="48:52" x14ac:dyDescent="0.2">
      <c r="AV334" s="49" t="s">
        <v>164</v>
      </c>
      <c r="AW334" s="31" t="s">
        <v>426</v>
      </c>
      <c r="AX334" s="32">
        <v>27</v>
      </c>
    </row>
    <row r="335" spans="48:52" x14ac:dyDescent="0.2">
      <c r="AV335" s="49" t="s">
        <v>164</v>
      </c>
      <c r="AW335" s="31" t="s">
        <v>427</v>
      </c>
      <c r="AX335" s="32">
        <v>53.2</v>
      </c>
    </row>
    <row r="336" spans="48:52" x14ac:dyDescent="0.2">
      <c r="AV336" s="49" t="s">
        <v>164</v>
      </c>
      <c r="AW336" s="31" t="s">
        <v>428</v>
      </c>
      <c r="AX336" s="32">
        <v>79.5</v>
      </c>
    </row>
    <row r="337" spans="48:50" x14ac:dyDescent="0.2">
      <c r="AV337" s="49" t="s">
        <v>164</v>
      </c>
      <c r="AW337" s="31" t="s">
        <v>429</v>
      </c>
      <c r="AX337" s="32">
        <v>104.5</v>
      </c>
    </row>
    <row r="338" spans="48:50" x14ac:dyDescent="0.2">
      <c r="AV338" s="49" t="s">
        <v>164</v>
      </c>
      <c r="AW338" s="31" t="s">
        <v>430</v>
      </c>
      <c r="AX338" s="32">
        <v>160</v>
      </c>
    </row>
    <row r="339" spans="48:50" x14ac:dyDescent="0.2">
      <c r="AV339" s="50" t="s">
        <v>166</v>
      </c>
      <c r="AW339" s="31" t="s">
        <v>431</v>
      </c>
      <c r="AX339" s="32">
        <v>25.1</v>
      </c>
    </row>
    <row r="340" spans="48:50" x14ac:dyDescent="0.2">
      <c r="AV340" s="50" t="s">
        <v>166</v>
      </c>
      <c r="AW340" s="31" t="s">
        <v>432</v>
      </c>
      <c r="AX340" s="32">
        <v>48.45</v>
      </c>
    </row>
    <row r="341" spans="48:50" x14ac:dyDescent="0.2">
      <c r="AV341" s="50" t="s">
        <v>166</v>
      </c>
      <c r="AW341" s="31" t="s">
        <v>433</v>
      </c>
      <c r="AX341" s="32">
        <v>73</v>
      </c>
    </row>
    <row r="342" spans="48:50" x14ac:dyDescent="0.2">
      <c r="AV342" s="50" t="s">
        <v>166</v>
      </c>
      <c r="AW342" s="31" t="s">
        <v>434</v>
      </c>
      <c r="AX342" s="32">
        <v>96</v>
      </c>
    </row>
    <row r="343" spans="48:50" x14ac:dyDescent="0.2">
      <c r="AV343" s="50" t="s">
        <v>166</v>
      </c>
      <c r="AW343" s="31" t="s">
        <v>435</v>
      </c>
      <c r="AX343" s="32">
        <v>43.2</v>
      </c>
    </row>
    <row r="344" spans="48:50" x14ac:dyDescent="0.2">
      <c r="AV344" s="50" t="s">
        <v>166</v>
      </c>
      <c r="AW344" s="31" t="s">
        <v>436</v>
      </c>
      <c r="AX344" s="32">
        <v>85.5</v>
      </c>
    </row>
    <row r="345" spans="48:50" x14ac:dyDescent="0.2">
      <c r="AV345" s="50" t="s">
        <v>166</v>
      </c>
      <c r="AW345" s="31" t="s">
        <v>437</v>
      </c>
      <c r="AX345" s="32">
        <v>130</v>
      </c>
    </row>
    <row r="346" spans="48:50" x14ac:dyDescent="0.2">
      <c r="AV346" s="50" t="s">
        <v>166</v>
      </c>
      <c r="AW346" s="31" t="s">
        <v>438</v>
      </c>
      <c r="AX346" s="32">
        <v>172</v>
      </c>
    </row>
    <row r="347" spans="48:50" x14ac:dyDescent="0.2">
      <c r="AV347" s="51" t="s">
        <v>168</v>
      </c>
      <c r="AW347" s="31" t="s">
        <v>439</v>
      </c>
      <c r="AX347" s="32">
        <v>32.5</v>
      </c>
    </row>
    <row r="348" spans="48:50" x14ac:dyDescent="0.2">
      <c r="AV348" s="51" t="s">
        <v>168</v>
      </c>
      <c r="AW348" s="31" t="s">
        <v>440</v>
      </c>
      <c r="AX348" s="32">
        <v>63</v>
      </c>
    </row>
    <row r="349" spans="48:50" x14ac:dyDescent="0.2">
      <c r="AV349" s="51" t="s">
        <v>168</v>
      </c>
      <c r="AW349" s="31" t="s">
        <v>441</v>
      </c>
      <c r="AX349" s="32">
        <v>95.5</v>
      </c>
    </row>
    <row r="350" spans="48:50" x14ac:dyDescent="0.2">
      <c r="AV350" s="51" t="s">
        <v>168</v>
      </c>
      <c r="AW350" s="31" t="s">
        <v>442</v>
      </c>
      <c r="AX350" s="32">
        <v>126</v>
      </c>
    </row>
    <row r="351" spans="48:50" x14ac:dyDescent="0.2">
      <c r="AV351" s="51" t="s">
        <v>168</v>
      </c>
      <c r="AW351" s="31" t="s">
        <v>443</v>
      </c>
      <c r="AX351" s="32">
        <v>62</v>
      </c>
    </row>
    <row r="352" spans="48:50" x14ac:dyDescent="0.2">
      <c r="AV352" s="51" t="s">
        <v>168</v>
      </c>
      <c r="AW352" s="31" t="s">
        <v>444</v>
      </c>
      <c r="AX352" s="32">
        <v>117</v>
      </c>
    </row>
    <row r="353" spans="48:50" x14ac:dyDescent="0.2">
      <c r="AV353" s="51" t="s">
        <v>168</v>
      </c>
      <c r="AW353" s="31" t="s">
        <v>445</v>
      </c>
      <c r="AX353" s="32">
        <v>179</v>
      </c>
    </row>
    <row r="354" spans="48:50" x14ac:dyDescent="0.2">
      <c r="AV354" s="51" t="s">
        <v>168</v>
      </c>
      <c r="AW354" s="31" t="s">
        <v>446</v>
      </c>
      <c r="AX354" s="32">
        <v>234</v>
      </c>
    </row>
    <row r="355" spans="48:50" x14ac:dyDescent="0.2">
      <c r="AV355" s="51" t="s">
        <v>168</v>
      </c>
      <c r="AW355" s="31" t="s">
        <v>447</v>
      </c>
      <c r="AX355" s="32">
        <v>354.5</v>
      </c>
    </row>
    <row r="356" spans="48:50" x14ac:dyDescent="0.2">
      <c r="AV356" s="51" t="s">
        <v>168</v>
      </c>
      <c r="AW356" s="50" t="s">
        <v>448</v>
      </c>
      <c r="AX356" s="38">
        <v>468</v>
      </c>
    </row>
    <row r="357" spans="48:50" x14ac:dyDescent="0.2">
      <c r="AV357" s="51" t="s">
        <v>168</v>
      </c>
      <c r="AW357" s="50" t="s">
        <v>449</v>
      </c>
      <c r="AX357" s="38">
        <v>585</v>
      </c>
    </row>
    <row r="358" spans="48:50" x14ac:dyDescent="0.2">
      <c r="AV358" s="51" t="s">
        <v>168</v>
      </c>
      <c r="AW358" s="31" t="s">
        <v>450</v>
      </c>
      <c r="AX358" s="32">
        <v>26</v>
      </c>
    </row>
    <row r="359" spans="48:50" x14ac:dyDescent="0.2">
      <c r="AV359" s="51" t="s">
        <v>168</v>
      </c>
      <c r="AW359" s="31" t="s">
        <v>451</v>
      </c>
      <c r="AX359" s="32">
        <v>28</v>
      </c>
    </row>
    <row r="360" spans="48:50" x14ac:dyDescent="0.2">
      <c r="AV360" s="51" t="s">
        <v>168</v>
      </c>
      <c r="AW360" s="31" t="s">
        <v>452</v>
      </c>
      <c r="AX360" s="32">
        <v>44</v>
      </c>
    </row>
    <row r="361" spans="48:50" x14ac:dyDescent="0.2">
      <c r="AV361" s="51" t="s">
        <v>168</v>
      </c>
      <c r="AW361" s="31" t="s">
        <v>453</v>
      </c>
      <c r="AX361" s="32">
        <v>47</v>
      </c>
    </row>
    <row r="362" spans="48:50" x14ac:dyDescent="0.2">
      <c r="AV362" s="51" t="s">
        <v>168</v>
      </c>
      <c r="AW362" s="31" t="s">
        <v>454</v>
      </c>
      <c r="AX362" s="32">
        <v>49</v>
      </c>
    </row>
    <row r="363" spans="48:50" x14ac:dyDescent="0.2">
      <c r="AV363" s="51" t="s">
        <v>168</v>
      </c>
      <c r="AW363" s="31" t="s">
        <v>455</v>
      </c>
      <c r="AX363" s="32">
        <v>51</v>
      </c>
    </row>
    <row r="364" spans="48:50" x14ac:dyDescent="0.2">
      <c r="AV364" s="51" t="s">
        <v>168</v>
      </c>
      <c r="AW364" s="31" t="s">
        <v>456</v>
      </c>
      <c r="AX364" s="32">
        <v>54</v>
      </c>
    </row>
    <row r="365" spans="48:50" x14ac:dyDescent="0.2">
      <c r="AV365" s="52" t="s">
        <v>170</v>
      </c>
      <c r="AW365" s="31" t="s">
        <v>329</v>
      </c>
      <c r="AX365" s="32">
        <v>19.600000000000001</v>
      </c>
    </row>
    <row r="366" spans="48:50" x14ac:dyDescent="0.2">
      <c r="AV366" s="52" t="s">
        <v>170</v>
      </c>
      <c r="AW366" s="31" t="s">
        <v>331</v>
      </c>
      <c r="AX366" s="32">
        <v>38.25</v>
      </c>
    </row>
    <row r="367" spans="48:50" x14ac:dyDescent="0.2">
      <c r="AV367" s="49" t="s">
        <v>172</v>
      </c>
      <c r="AW367" s="31" t="s">
        <v>334</v>
      </c>
      <c r="AX367" s="32">
        <v>20.2</v>
      </c>
    </row>
    <row r="368" spans="48:50" x14ac:dyDescent="0.2">
      <c r="AV368" s="49" t="s">
        <v>172</v>
      </c>
      <c r="AW368" s="31" t="s">
        <v>336</v>
      </c>
      <c r="AX368" s="32">
        <v>36.333333333333336</v>
      </c>
    </row>
    <row r="369" spans="48:50" x14ac:dyDescent="0.2">
      <c r="AV369" s="49" t="s">
        <v>172</v>
      </c>
      <c r="AW369" s="31" t="s">
        <v>338</v>
      </c>
      <c r="AX369" s="32">
        <v>52</v>
      </c>
    </row>
    <row r="370" spans="48:50" x14ac:dyDescent="0.2">
      <c r="AV370" s="49" t="s">
        <v>172</v>
      </c>
      <c r="AW370" s="31" t="s">
        <v>340</v>
      </c>
      <c r="AX370" s="32">
        <v>66.333333333333329</v>
      </c>
    </row>
    <row r="371" spans="48:50" x14ac:dyDescent="0.2">
      <c r="AV371" s="53" t="s">
        <v>174</v>
      </c>
      <c r="AW371" s="31" t="s">
        <v>457</v>
      </c>
      <c r="AX371" s="32">
        <v>26.733333333333334</v>
      </c>
    </row>
    <row r="372" spans="48:50" x14ac:dyDescent="0.2">
      <c r="AV372" s="53" t="s">
        <v>174</v>
      </c>
      <c r="AW372" s="31" t="s">
        <v>458</v>
      </c>
      <c r="AX372" s="32">
        <v>50.166666666666664</v>
      </c>
    </row>
    <row r="373" spans="48:50" x14ac:dyDescent="0.2">
      <c r="AV373" s="53" t="s">
        <v>174</v>
      </c>
      <c r="AW373" s="31" t="s">
        <v>459</v>
      </c>
      <c r="AX373" s="32">
        <v>72.666666666666671</v>
      </c>
    </row>
    <row r="374" spans="48:50" x14ac:dyDescent="0.2">
      <c r="AV374" s="53" t="s">
        <v>174</v>
      </c>
      <c r="AW374" s="31" t="s">
        <v>460</v>
      </c>
      <c r="AX374" s="32">
        <v>96.333333333333329</v>
      </c>
    </row>
    <row r="375" spans="48:50" x14ac:dyDescent="0.2">
      <c r="AV375" s="53" t="s">
        <v>174</v>
      </c>
      <c r="AW375" s="31" t="s">
        <v>461</v>
      </c>
      <c r="AX375" s="32">
        <v>135</v>
      </c>
    </row>
    <row r="376" spans="48:50" x14ac:dyDescent="0.2">
      <c r="AV376" s="33" t="s">
        <v>176</v>
      </c>
      <c r="AW376" s="50" t="s">
        <v>462</v>
      </c>
      <c r="AX376" s="38">
        <v>26</v>
      </c>
    </row>
    <row r="377" spans="48:50" x14ac:dyDescent="0.2">
      <c r="AV377" s="33" t="s">
        <v>176</v>
      </c>
      <c r="AW377" s="50" t="s">
        <v>463</v>
      </c>
      <c r="AX377" s="38">
        <v>52</v>
      </c>
    </row>
    <row r="378" spans="48:50" x14ac:dyDescent="0.2">
      <c r="AV378" s="33" t="s">
        <v>176</v>
      </c>
      <c r="AW378" s="50" t="s">
        <v>464</v>
      </c>
      <c r="AX378" s="38">
        <v>78</v>
      </c>
    </row>
    <row r="379" spans="48:50" x14ac:dyDescent="0.2">
      <c r="AV379" s="33" t="s">
        <v>176</v>
      </c>
      <c r="AW379" s="50" t="s">
        <v>465</v>
      </c>
      <c r="AX379" s="38">
        <v>104</v>
      </c>
    </row>
    <row r="380" spans="48:50" x14ac:dyDescent="0.2">
      <c r="AV380" s="33" t="s">
        <v>176</v>
      </c>
      <c r="AW380" s="31" t="s">
        <v>466</v>
      </c>
      <c r="AX380" s="32">
        <v>32.699999999999996</v>
      </c>
    </row>
    <row r="381" spans="48:50" x14ac:dyDescent="0.2">
      <c r="AV381" s="33" t="s">
        <v>176</v>
      </c>
      <c r="AW381" s="31" t="s">
        <v>467</v>
      </c>
      <c r="AX381" s="32">
        <v>61.4</v>
      </c>
    </row>
    <row r="382" spans="48:50" x14ac:dyDescent="0.2">
      <c r="AV382" s="33" t="s">
        <v>176</v>
      </c>
      <c r="AW382" s="31" t="s">
        <v>468</v>
      </c>
      <c r="AX382" s="32">
        <v>90.966666666666654</v>
      </c>
    </row>
    <row r="383" spans="48:50" x14ac:dyDescent="0.2">
      <c r="AV383" s="33" t="s">
        <v>176</v>
      </c>
      <c r="AW383" s="31" t="s">
        <v>469</v>
      </c>
      <c r="AX383" s="32">
        <v>120.03333333333335</v>
      </c>
    </row>
    <row r="384" spans="48:50" x14ac:dyDescent="0.2">
      <c r="AV384" s="33" t="s">
        <v>176</v>
      </c>
      <c r="AW384" s="50" t="s">
        <v>470</v>
      </c>
      <c r="AX384" s="38">
        <v>39</v>
      </c>
    </row>
    <row r="385" spans="48:50" x14ac:dyDescent="0.2">
      <c r="AV385" s="33" t="s">
        <v>176</v>
      </c>
      <c r="AW385" s="50" t="s">
        <v>471</v>
      </c>
      <c r="AX385" s="38">
        <v>77</v>
      </c>
    </row>
    <row r="386" spans="48:50" x14ac:dyDescent="0.2">
      <c r="AV386" s="33" t="s">
        <v>176</v>
      </c>
      <c r="AW386" s="50" t="s">
        <v>472</v>
      </c>
      <c r="AX386" s="38">
        <v>115</v>
      </c>
    </row>
    <row r="387" spans="48:50" x14ac:dyDescent="0.2">
      <c r="AV387" s="33" t="s">
        <v>176</v>
      </c>
      <c r="AW387" s="50" t="s">
        <v>473</v>
      </c>
      <c r="AX387" s="38">
        <v>151</v>
      </c>
    </row>
    <row r="388" spans="48:50" x14ac:dyDescent="0.2">
      <c r="AV388" s="33" t="s">
        <v>176</v>
      </c>
      <c r="AW388" s="31" t="s">
        <v>474</v>
      </c>
      <c r="AX388" s="32">
        <v>150.5</v>
      </c>
    </row>
    <row r="389" spans="48:50" x14ac:dyDescent="0.2">
      <c r="AV389" s="33" t="s">
        <v>176</v>
      </c>
      <c r="AW389" s="31" t="s">
        <v>475</v>
      </c>
      <c r="AX389" s="32">
        <v>223.5</v>
      </c>
    </row>
    <row r="390" spans="48:50" x14ac:dyDescent="0.2">
      <c r="AV390" s="33" t="s">
        <v>176</v>
      </c>
      <c r="AW390" s="31" t="s">
        <v>476</v>
      </c>
      <c r="AX390" s="32">
        <v>291</v>
      </c>
    </row>
    <row r="391" spans="48:50" x14ac:dyDescent="0.2">
      <c r="AV391" s="33" t="s">
        <v>176</v>
      </c>
      <c r="AW391" s="50" t="s">
        <v>477</v>
      </c>
      <c r="AX391" s="38">
        <f>AVERAGE(294,442)</f>
        <v>368</v>
      </c>
    </row>
    <row r="392" spans="48:50" x14ac:dyDescent="0.2">
      <c r="AV392" s="54" t="s">
        <v>178</v>
      </c>
      <c r="AW392" s="31" t="s">
        <v>348</v>
      </c>
      <c r="AX392" s="32">
        <v>25</v>
      </c>
    </row>
    <row r="393" spans="48:50" x14ac:dyDescent="0.2">
      <c r="AV393" s="54" t="s">
        <v>178</v>
      </c>
      <c r="AW393" s="31" t="s">
        <v>350</v>
      </c>
      <c r="AX393" s="32">
        <v>44.5</v>
      </c>
    </row>
    <row r="394" spans="48:50" x14ac:dyDescent="0.2">
      <c r="AV394" s="54" t="s">
        <v>178</v>
      </c>
      <c r="AW394" s="31" t="s">
        <v>352</v>
      </c>
      <c r="AX394" s="32">
        <v>64.5</v>
      </c>
    </row>
    <row r="395" spans="48:50" x14ac:dyDescent="0.2">
      <c r="AV395" s="54" t="s">
        <v>178</v>
      </c>
      <c r="AW395" s="31" t="s">
        <v>354</v>
      </c>
      <c r="AX395" s="32">
        <v>85.5</v>
      </c>
    </row>
    <row r="396" spans="48:50" x14ac:dyDescent="0.2">
      <c r="AV396" s="54" t="s">
        <v>178</v>
      </c>
      <c r="AW396" s="31" t="s">
        <v>478</v>
      </c>
      <c r="AX396" s="32">
        <v>122.5</v>
      </c>
    </row>
    <row r="397" spans="48:50" x14ac:dyDescent="0.2">
      <c r="AV397" s="54" t="s">
        <v>178</v>
      </c>
      <c r="AW397" s="31" t="s">
        <v>479</v>
      </c>
      <c r="AX397" s="32">
        <v>25.5</v>
      </c>
    </row>
    <row r="398" spans="48:50" x14ac:dyDescent="0.2">
      <c r="AV398" s="54" t="s">
        <v>178</v>
      </c>
      <c r="AW398" s="31" t="s">
        <v>480</v>
      </c>
      <c r="AX398" s="32">
        <v>50</v>
      </c>
    </row>
    <row r="399" spans="48:50" x14ac:dyDescent="0.2">
      <c r="AV399" s="54" t="s">
        <v>178</v>
      </c>
      <c r="AW399" s="31" t="s">
        <v>481</v>
      </c>
      <c r="AX399" s="32">
        <v>74</v>
      </c>
    </row>
    <row r="400" spans="48:50" x14ac:dyDescent="0.2">
      <c r="AV400" s="54" t="s">
        <v>178</v>
      </c>
      <c r="AW400" s="31" t="s">
        <v>482</v>
      </c>
      <c r="AX400" s="32">
        <v>98</v>
      </c>
    </row>
    <row r="401" spans="48:50" x14ac:dyDescent="0.2">
      <c r="AV401" s="54" t="s">
        <v>178</v>
      </c>
      <c r="AW401" s="31" t="s">
        <v>483</v>
      </c>
      <c r="AX401" s="32">
        <v>129.5</v>
      </c>
    </row>
    <row r="402" spans="48:50" x14ac:dyDescent="0.2">
      <c r="AV402" s="54" t="s">
        <v>178</v>
      </c>
      <c r="AW402" s="31" t="s">
        <v>484</v>
      </c>
      <c r="AX402" s="32">
        <v>194</v>
      </c>
    </row>
    <row r="403" spans="48:50" x14ac:dyDescent="0.2">
      <c r="AV403" s="54" t="s">
        <v>178</v>
      </c>
      <c r="AW403" s="31" t="s">
        <v>485</v>
      </c>
      <c r="AX403" s="32">
        <v>29.5</v>
      </c>
    </row>
    <row r="404" spans="48:50" x14ac:dyDescent="0.2">
      <c r="AV404" s="54" t="s">
        <v>178</v>
      </c>
      <c r="AW404" s="31" t="s">
        <v>486</v>
      </c>
      <c r="AX404" s="32">
        <v>63.699999999999996</v>
      </c>
    </row>
    <row r="405" spans="48:50" x14ac:dyDescent="0.2">
      <c r="AV405" s="54" t="s">
        <v>178</v>
      </c>
      <c r="AW405" s="31" t="s">
        <v>487</v>
      </c>
      <c r="AX405" s="32">
        <v>79</v>
      </c>
    </row>
    <row r="406" spans="48:50" x14ac:dyDescent="0.2">
      <c r="AV406" s="54" t="s">
        <v>178</v>
      </c>
      <c r="AW406" s="31" t="s">
        <v>488</v>
      </c>
      <c r="AX406" s="32">
        <v>105</v>
      </c>
    </row>
    <row r="407" spans="48:50" x14ac:dyDescent="0.2">
      <c r="AV407" s="55" t="s">
        <v>489</v>
      </c>
      <c r="AW407" s="31" t="s">
        <v>490</v>
      </c>
      <c r="AX407" s="32">
        <v>26.5</v>
      </c>
    </row>
    <row r="408" spans="48:50" x14ac:dyDescent="0.2">
      <c r="AV408" s="55" t="s">
        <v>489</v>
      </c>
      <c r="AW408" s="31" t="s">
        <v>491</v>
      </c>
      <c r="AX408" s="32">
        <v>48</v>
      </c>
    </row>
    <row r="409" spans="48:50" x14ac:dyDescent="0.2">
      <c r="AV409" s="55" t="s">
        <v>489</v>
      </c>
      <c r="AW409" s="31" t="s">
        <v>492</v>
      </c>
      <c r="AX409" s="32">
        <v>71.5</v>
      </c>
    </row>
    <row r="410" spans="48:50" x14ac:dyDescent="0.2">
      <c r="AV410" s="55" t="s">
        <v>489</v>
      </c>
      <c r="AW410" s="31" t="s">
        <v>493</v>
      </c>
      <c r="AX410" s="32">
        <v>95</v>
      </c>
    </row>
    <row r="411" spans="48:50" x14ac:dyDescent="0.2">
      <c r="AV411" s="55" t="s">
        <v>489</v>
      </c>
      <c r="AW411" s="31" t="s">
        <v>494</v>
      </c>
      <c r="AX411" s="32">
        <v>28</v>
      </c>
    </row>
    <row r="412" spans="48:50" x14ac:dyDescent="0.2">
      <c r="AV412" s="55" t="s">
        <v>489</v>
      </c>
      <c r="AW412" s="31" t="s">
        <v>495</v>
      </c>
      <c r="AX412" s="32">
        <v>54.5</v>
      </c>
    </row>
    <row r="413" spans="48:50" x14ac:dyDescent="0.2">
      <c r="AV413" s="55" t="s">
        <v>489</v>
      </c>
      <c r="AW413" s="31" t="s">
        <v>496</v>
      </c>
      <c r="AX413" s="32">
        <v>81.55</v>
      </c>
    </row>
    <row r="414" spans="48:50" x14ac:dyDescent="0.2">
      <c r="AV414" s="55" t="s">
        <v>489</v>
      </c>
      <c r="AW414" s="31" t="s">
        <v>497</v>
      </c>
      <c r="AX414" s="32">
        <v>107.5</v>
      </c>
    </row>
    <row r="415" spans="48:50" x14ac:dyDescent="0.2">
      <c r="AV415" s="55" t="s">
        <v>489</v>
      </c>
      <c r="AW415" s="31" t="s">
        <v>498</v>
      </c>
      <c r="AX415" s="32">
        <v>36.5</v>
      </c>
    </row>
    <row r="416" spans="48:50" x14ac:dyDescent="0.2">
      <c r="AV416" s="55" t="s">
        <v>489</v>
      </c>
      <c r="AW416" s="31" t="s">
        <v>499</v>
      </c>
      <c r="AX416" s="32">
        <v>73.5</v>
      </c>
    </row>
    <row r="417" spans="48:50" x14ac:dyDescent="0.2">
      <c r="AV417" s="55" t="s">
        <v>489</v>
      </c>
      <c r="AW417" s="31" t="s">
        <v>500</v>
      </c>
      <c r="AX417" s="32">
        <v>109</v>
      </c>
    </row>
    <row r="418" spans="48:50" x14ac:dyDescent="0.2">
      <c r="AV418" s="55" t="s">
        <v>489</v>
      </c>
      <c r="AW418" s="31" t="s">
        <v>501</v>
      </c>
      <c r="AX418" s="32">
        <v>145</v>
      </c>
    </row>
    <row r="419" spans="48:50" x14ac:dyDescent="0.2">
      <c r="AV419" s="56" t="s">
        <v>502</v>
      </c>
      <c r="AW419" s="31" t="s">
        <v>503</v>
      </c>
      <c r="AX419" s="32">
        <v>22</v>
      </c>
    </row>
    <row r="420" spans="48:50" x14ac:dyDescent="0.2">
      <c r="AV420" s="56" t="s">
        <v>502</v>
      </c>
      <c r="AW420" s="31" t="s">
        <v>504</v>
      </c>
      <c r="AX420" s="32">
        <v>43</v>
      </c>
    </row>
    <row r="421" spans="48:50" x14ac:dyDescent="0.2">
      <c r="AV421" s="56" t="s">
        <v>502</v>
      </c>
      <c r="AW421" s="31" t="s">
        <v>505</v>
      </c>
      <c r="AX421" s="32">
        <v>63</v>
      </c>
    </row>
    <row r="422" spans="48:50" x14ac:dyDescent="0.2">
      <c r="AV422" s="56" t="s">
        <v>502</v>
      </c>
      <c r="AW422" s="31" t="s">
        <v>506</v>
      </c>
      <c r="AX422" s="32">
        <v>83</v>
      </c>
    </row>
    <row r="423" spans="48:50" x14ac:dyDescent="0.2">
      <c r="AV423" s="56" t="s">
        <v>502</v>
      </c>
      <c r="AW423" s="31" t="s">
        <v>507</v>
      </c>
      <c r="AX423" s="32">
        <v>25</v>
      </c>
    </row>
    <row r="424" spans="48:50" x14ac:dyDescent="0.2">
      <c r="AV424" s="56" t="s">
        <v>502</v>
      </c>
      <c r="AW424" s="31" t="s">
        <v>508</v>
      </c>
      <c r="AX424" s="32">
        <v>48</v>
      </c>
    </row>
    <row r="425" spans="48:50" x14ac:dyDescent="0.2">
      <c r="AV425" s="56" t="s">
        <v>502</v>
      </c>
      <c r="AW425" s="31" t="s">
        <v>509</v>
      </c>
      <c r="AX425" s="32">
        <v>72</v>
      </c>
    </row>
    <row r="426" spans="48:50" x14ac:dyDescent="0.2">
      <c r="AV426" s="56" t="s">
        <v>502</v>
      </c>
      <c r="AW426" s="31" t="s">
        <v>510</v>
      </c>
      <c r="AX426" s="32">
        <v>94</v>
      </c>
    </row>
    <row r="427" spans="48:50" x14ac:dyDescent="0.2">
      <c r="AV427" s="56" t="s">
        <v>502</v>
      </c>
      <c r="AW427" s="31" t="s">
        <v>511</v>
      </c>
      <c r="AX427" s="32">
        <v>32.5</v>
      </c>
    </row>
    <row r="428" spans="48:50" x14ac:dyDescent="0.2">
      <c r="AV428" s="56" t="s">
        <v>502</v>
      </c>
      <c r="AW428" s="31" t="s">
        <v>512</v>
      </c>
      <c r="AX428" s="32">
        <v>65</v>
      </c>
    </row>
    <row r="429" spans="48:50" x14ac:dyDescent="0.2">
      <c r="AV429" s="56" t="s">
        <v>502</v>
      </c>
      <c r="AW429" s="31" t="s">
        <v>513</v>
      </c>
      <c r="AX429" s="32">
        <v>96</v>
      </c>
    </row>
    <row r="430" spans="48:50" x14ac:dyDescent="0.2">
      <c r="AV430" s="56" t="s">
        <v>502</v>
      </c>
      <c r="AW430" s="31" t="s">
        <v>514</v>
      </c>
      <c r="AX430" s="32">
        <v>131</v>
      </c>
    </row>
    <row r="431" spans="48:50" x14ac:dyDescent="0.2">
      <c r="AV431" s="56" t="s">
        <v>502</v>
      </c>
      <c r="AW431" s="31" t="s">
        <v>515</v>
      </c>
      <c r="AX431" s="32">
        <v>20.5</v>
      </c>
    </row>
    <row r="432" spans="48:50" x14ac:dyDescent="0.2">
      <c r="AV432" s="56" t="s">
        <v>502</v>
      </c>
      <c r="AW432" s="31" t="s">
        <v>516</v>
      </c>
      <c r="AX432" s="32">
        <v>38</v>
      </c>
    </row>
    <row r="433" spans="48:50" x14ac:dyDescent="0.2">
      <c r="AV433" s="56" t="s">
        <v>502</v>
      </c>
      <c r="AW433" s="31" t="s">
        <v>517</v>
      </c>
      <c r="AX433" s="32">
        <v>57</v>
      </c>
    </row>
    <row r="434" spans="48:50" x14ac:dyDescent="0.2">
      <c r="AV434" s="56" t="s">
        <v>502</v>
      </c>
      <c r="AW434" s="31" t="s">
        <v>518</v>
      </c>
      <c r="AX434" s="32">
        <v>75</v>
      </c>
    </row>
    <row r="435" spans="48:50" x14ac:dyDescent="0.2">
      <c r="AV435" s="56" t="s">
        <v>502</v>
      </c>
      <c r="AW435" s="31" t="s">
        <v>519</v>
      </c>
      <c r="AX435" s="32">
        <v>22.5</v>
      </c>
    </row>
    <row r="436" spans="48:50" x14ac:dyDescent="0.2">
      <c r="AV436" s="56" t="s">
        <v>502</v>
      </c>
      <c r="AW436" s="31" t="s">
        <v>520</v>
      </c>
      <c r="AX436" s="32">
        <v>43</v>
      </c>
    </row>
    <row r="437" spans="48:50" x14ac:dyDescent="0.2">
      <c r="AV437" s="56" t="s">
        <v>502</v>
      </c>
      <c r="AW437" s="31" t="s">
        <v>521</v>
      </c>
      <c r="AX437" s="32">
        <v>64</v>
      </c>
    </row>
    <row r="438" spans="48:50" x14ac:dyDescent="0.2">
      <c r="AV438" s="56" t="s">
        <v>502</v>
      </c>
      <c r="AW438" s="31" t="s">
        <v>522</v>
      </c>
      <c r="AX438" s="32">
        <v>85</v>
      </c>
    </row>
    <row r="439" spans="48:50" x14ac:dyDescent="0.2">
      <c r="AV439" s="56" t="s">
        <v>502</v>
      </c>
      <c r="AW439" s="31" t="s">
        <v>523</v>
      </c>
      <c r="AX439" s="32">
        <v>30.5</v>
      </c>
    </row>
    <row r="440" spans="48:50" x14ac:dyDescent="0.2">
      <c r="AV440" s="56" t="s">
        <v>502</v>
      </c>
      <c r="AW440" s="31" t="s">
        <v>524</v>
      </c>
      <c r="AX440" s="32">
        <v>60</v>
      </c>
    </row>
    <row r="441" spans="48:50" x14ac:dyDescent="0.2">
      <c r="AV441" s="56" t="s">
        <v>502</v>
      </c>
      <c r="AW441" s="31" t="s">
        <v>525</v>
      </c>
      <c r="AX441" s="32">
        <v>93</v>
      </c>
    </row>
    <row r="442" spans="48:50" x14ac:dyDescent="0.2">
      <c r="AV442" s="56" t="s">
        <v>502</v>
      </c>
      <c r="AW442" s="31" t="s">
        <v>526</v>
      </c>
      <c r="AX442" s="32">
        <v>122</v>
      </c>
    </row>
    <row r="443" spans="48:50" x14ac:dyDescent="0.2">
      <c r="AV443" s="49" t="s">
        <v>184</v>
      </c>
      <c r="AW443" s="31" t="s">
        <v>388</v>
      </c>
      <c r="AX443" s="32">
        <v>36</v>
      </c>
    </row>
    <row r="444" spans="48:50" x14ac:dyDescent="0.2">
      <c r="AV444" s="49" t="s">
        <v>184</v>
      </c>
      <c r="AW444" s="31" t="s">
        <v>390</v>
      </c>
      <c r="AX444" s="32">
        <v>72</v>
      </c>
    </row>
    <row r="445" spans="48:50" x14ac:dyDescent="0.2">
      <c r="AV445" s="49" t="s">
        <v>184</v>
      </c>
      <c r="AW445" s="31" t="s">
        <v>527</v>
      </c>
      <c r="AX445" s="32">
        <v>106</v>
      </c>
    </row>
    <row r="446" spans="48:50" x14ac:dyDescent="0.2">
      <c r="AV446" s="49" t="s">
        <v>184</v>
      </c>
      <c r="AW446" s="31" t="s">
        <v>528</v>
      </c>
      <c r="AX446" s="32">
        <v>134</v>
      </c>
    </row>
    <row r="447" spans="48:50" x14ac:dyDescent="0.2">
      <c r="AV447" s="57" t="s">
        <v>186</v>
      </c>
      <c r="AW447" s="31" t="s">
        <v>529</v>
      </c>
      <c r="AX447" s="32">
        <v>51</v>
      </c>
    </row>
    <row r="448" spans="48:50" x14ac:dyDescent="0.2">
      <c r="AV448" s="57" t="s">
        <v>186</v>
      </c>
      <c r="AW448" s="31" t="s">
        <v>530</v>
      </c>
      <c r="AX448" s="32">
        <v>61</v>
      </c>
    </row>
    <row r="449" spans="48:50" x14ac:dyDescent="0.2">
      <c r="AV449" s="57" t="s">
        <v>186</v>
      </c>
      <c r="AW449" s="31" t="s">
        <v>531</v>
      </c>
      <c r="AX449" s="32">
        <v>100</v>
      </c>
    </row>
    <row r="450" spans="48:50" x14ac:dyDescent="0.2">
      <c r="AV450" s="57" t="s">
        <v>186</v>
      </c>
      <c r="AW450" s="31" t="s">
        <v>532</v>
      </c>
      <c r="AX450" s="32">
        <v>106.5</v>
      </c>
    </row>
    <row r="451" spans="48:50" x14ac:dyDescent="0.2">
      <c r="AV451" s="57" t="s">
        <v>186</v>
      </c>
      <c r="AW451" s="31" t="s">
        <v>533</v>
      </c>
      <c r="AX451" s="32">
        <v>167</v>
      </c>
    </row>
    <row r="452" spans="48:50" x14ac:dyDescent="0.2">
      <c r="AV452" s="57" t="s">
        <v>186</v>
      </c>
      <c r="AW452" s="31" t="s">
        <v>534</v>
      </c>
      <c r="AX452" s="32">
        <v>219</v>
      </c>
    </row>
    <row r="453" spans="48:50" x14ac:dyDescent="0.2">
      <c r="AV453" s="58" t="s">
        <v>188</v>
      </c>
      <c r="AW453" s="31" t="s">
        <v>535</v>
      </c>
      <c r="AX453" s="32">
        <v>29</v>
      </c>
    </row>
    <row r="454" spans="48:50" x14ac:dyDescent="0.2">
      <c r="AV454" s="58" t="s">
        <v>188</v>
      </c>
      <c r="AW454" s="31" t="s">
        <v>536</v>
      </c>
      <c r="AX454" s="32">
        <v>55</v>
      </c>
    </row>
    <row r="455" spans="48:50" x14ac:dyDescent="0.2">
      <c r="AV455" s="58" t="s">
        <v>188</v>
      </c>
      <c r="AW455" s="31" t="s">
        <v>537</v>
      </c>
      <c r="AX455" s="32">
        <v>81</v>
      </c>
    </row>
    <row r="456" spans="48:50" x14ac:dyDescent="0.2">
      <c r="AV456" s="59" t="s">
        <v>190</v>
      </c>
      <c r="AW456" s="31" t="s">
        <v>538</v>
      </c>
      <c r="AX456" s="32">
        <v>377</v>
      </c>
    </row>
    <row r="457" spans="48:50" x14ac:dyDescent="0.2">
      <c r="AV457" s="59" t="s">
        <v>190</v>
      </c>
      <c r="AW457" s="31" t="s">
        <v>539</v>
      </c>
      <c r="AX457" s="32">
        <v>484</v>
      </c>
    </row>
    <row r="458" spans="48:50" x14ac:dyDescent="0.2">
      <c r="AV458" s="59" t="s">
        <v>190</v>
      </c>
      <c r="AW458" s="31" t="s">
        <v>540</v>
      </c>
      <c r="AX458" s="32">
        <v>22</v>
      </c>
    </row>
    <row r="459" spans="48:50" x14ac:dyDescent="0.2">
      <c r="AV459" s="59" t="s">
        <v>190</v>
      </c>
      <c r="AW459" s="31" t="s">
        <v>541</v>
      </c>
      <c r="AX459" s="32">
        <v>25</v>
      </c>
    </row>
    <row r="460" spans="48:50" x14ac:dyDescent="0.2">
      <c r="AV460" s="60" t="s">
        <v>192</v>
      </c>
      <c r="AW460" s="31" t="s">
        <v>542</v>
      </c>
      <c r="AX460" s="32">
        <v>43</v>
      </c>
    </row>
    <row r="461" spans="48:50" x14ac:dyDescent="0.2">
      <c r="AV461" s="60" t="s">
        <v>192</v>
      </c>
      <c r="AW461" s="31" t="s">
        <v>543</v>
      </c>
      <c r="AX461" s="32">
        <v>44</v>
      </c>
    </row>
    <row r="462" spans="48:50" x14ac:dyDescent="0.2">
      <c r="AV462" s="60" t="s">
        <v>192</v>
      </c>
      <c r="AW462" s="31" t="s">
        <v>544</v>
      </c>
      <c r="AX462" s="32">
        <v>45</v>
      </c>
    </row>
    <row r="463" spans="48:50" x14ac:dyDescent="0.2">
      <c r="AV463" s="60" t="s">
        <v>192</v>
      </c>
      <c r="AW463" s="31" t="s">
        <v>545</v>
      </c>
      <c r="AX463" s="32">
        <v>48</v>
      </c>
    </row>
    <row r="464" spans="48:50" x14ac:dyDescent="0.2">
      <c r="AV464" s="60" t="s">
        <v>192</v>
      </c>
      <c r="AW464" s="31" t="s">
        <v>546</v>
      </c>
      <c r="AX464" s="32">
        <v>52</v>
      </c>
    </row>
    <row r="465" spans="48:50" x14ac:dyDescent="0.2">
      <c r="AV465" s="47" t="s">
        <v>194</v>
      </c>
      <c r="AW465" s="31" t="s">
        <v>547</v>
      </c>
      <c r="AX465" s="32">
        <v>44.5</v>
      </c>
    </row>
    <row r="466" spans="48:50" x14ac:dyDescent="0.2">
      <c r="AV466" s="47" t="s">
        <v>194</v>
      </c>
      <c r="AW466" s="31" t="s">
        <v>548</v>
      </c>
      <c r="AX466" s="32">
        <v>65</v>
      </c>
    </row>
    <row r="467" spans="48:50" x14ac:dyDescent="0.2">
      <c r="AV467" s="47" t="s">
        <v>194</v>
      </c>
      <c r="AW467" s="31" t="s">
        <v>549</v>
      </c>
      <c r="AX467" s="32">
        <v>90.5</v>
      </c>
    </row>
    <row r="468" spans="48:50" x14ac:dyDescent="0.2">
      <c r="AV468" s="47" t="s">
        <v>194</v>
      </c>
      <c r="AW468" s="31" t="s">
        <v>550</v>
      </c>
      <c r="AX468" s="32">
        <v>133</v>
      </c>
    </row>
    <row r="469" spans="48:50" x14ac:dyDescent="0.2">
      <c r="AV469" s="47" t="s">
        <v>194</v>
      </c>
      <c r="AW469" s="31" t="s">
        <v>551</v>
      </c>
      <c r="AX469" s="32">
        <v>188</v>
      </c>
    </row>
    <row r="470" spans="48:50" x14ac:dyDescent="0.2">
      <c r="AV470" s="47" t="s">
        <v>194</v>
      </c>
      <c r="AW470" s="31" t="s">
        <v>552</v>
      </c>
      <c r="AX470" s="32">
        <v>245</v>
      </c>
    </row>
    <row r="471" spans="48:50" x14ac:dyDescent="0.2">
      <c r="AV471" s="47" t="s">
        <v>194</v>
      </c>
      <c r="AW471" s="31" t="s">
        <v>553</v>
      </c>
      <c r="AX471" s="32">
        <v>295</v>
      </c>
    </row>
    <row r="472" spans="48:50" x14ac:dyDescent="0.2">
      <c r="AV472" s="47" t="s">
        <v>194</v>
      </c>
      <c r="AW472" s="31" t="s">
        <v>554</v>
      </c>
      <c r="AX472" s="32">
        <v>365</v>
      </c>
    </row>
    <row r="473" spans="48:50" x14ac:dyDescent="0.2">
      <c r="AV473" s="47" t="s">
        <v>194</v>
      </c>
      <c r="AW473" s="31" t="s">
        <v>555</v>
      </c>
      <c r="AX473" s="32">
        <v>414</v>
      </c>
    </row>
    <row r="474" spans="48:50" x14ac:dyDescent="0.2">
      <c r="AV474" s="47" t="s">
        <v>194</v>
      </c>
      <c r="AW474" s="31" t="s">
        <v>556</v>
      </c>
      <c r="AX474" s="32">
        <v>461</v>
      </c>
    </row>
    <row r="475" spans="48:50" x14ac:dyDescent="0.2">
      <c r="AV475" s="47" t="s">
        <v>194</v>
      </c>
      <c r="AW475" s="31" t="s">
        <v>557</v>
      </c>
      <c r="AX475" s="32">
        <v>665</v>
      </c>
    </row>
    <row r="476" spans="48:50" x14ac:dyDescent="0.2">
      <c r="AV476" s="47" t="s">
        <v>194</v>
      </c>
      <c r="AW476" s="31" t="s">
        <v>558</v>
      </c>
      <c r="AX476" s="32">
        <v>840</v>
      </c>
    </row>
    <row r="477" spans="48:50" x14ac:dyDescent="0.2">
      <c r="AV477" s="47" t="s">
        <v>194</v>
      </c>
      <c r="AW477" s="31" t="s">
        <v>559</v>
      </c>
      <c r="AX477" s="32">
        <v>1100</v>
      </c>
    </row>
    <row r="478" spans="48:50" x14ac:dyDescent="0.2">
      <c r="AV478" s="61" t="s">
        <v>196</v>
      </c>
      <c r="AW478" s="50" t="s">
        <v>560</v>
      </c>
      <c r="AX478" s="38">
        <v>15</v>
      </c>
    </row>
    <row r="479" spans="48:50" x14ac:dyDescent="0.2">
      <c r="AV479" s="61" t="s">
        <v>196</v>
      </c>
      <c r="AW479" s="50" t="s">
        <v>561</v>
      </c>
      <c r="AX479" s="38">
        <v>25</v>
      </c>
    </row>
    <row r="480" spans="48:50" x14ac:dyDescent="0.2">
      <c r="AV480" s="61" t="s">
        <v>196</v>
      </c>
      <c r="AW480" s="50" t="s">
        <v>562</v>
      </c>
      <c r="AX480" s="38">
        <v>40</v>
      </c>
    </row>
    <row r="481" spans="48:50" x14ac:dyDescent="0.2">
      <c r="AV481" s="61" t="s">
        <v>196</v>
      </c>
      <c r="AW481" s="50" t="s">
        <v>563</v>
      </c>
      <c r="AX481" s="38">
        <v>55</v>
      </c>
    </row>
    <row r="482" spans="48:50" x14ac:dyDescent="0.2">
      <c r="AV482" s="61" t="s">
        <v>196</v>
      </c>
      <c r="AW482" s="50" t="s">
        <v>564</v>
      </c>
      <c r="AX482" s="38">
        <v>60</v>
      </c>
    </row>
    <row r="483" spans="48:50" x14ac:dyDescent="0.2">
      <c r="AV483" s="61" t="s">
        <v>196</v>
      </c>
      <c r="AW483" s="50" t="s">
        <v>565</v>
      </c>
      <c r="AX483" s="38">
        <v>65</v>
      </c>
    </row>
    <row r="484" spans="48:50" x14ac:dyDescent="0.2">
      <c r="AV484" s="61" t="s">
        <v>196</v>
      </c>
      <c r="AW484" s="50" t="s">
        <v>566</v>
      </c>
      <c r="AX484" s="38">
        <v>75</v>
      </c>
    </row>
    <row r="485" spans="48:50" x14ac:dyDescent="0.2">
      <c r="AV485" s="61" t="s">
        <v>196</v>
      </c>
      <c r="AW485" s="50" t="s">
        <v>567</v>
      </c>
      <c r="AX485" s="38">
        <v>100</v>
      </c>
    </row>
    <row r="486" spans="48:50" x14ac:dyDescent="0.2">
      <c r="AV486" s="61" t="s">
        <v>196</v>
      </c>
      <c r="AW486" s="50" t="s">
        <v>568</v>
      </c>
      <c r="AX486" s="38">
        <v>150</v>
      </c>
    </row>
    <row r="487" spans="48:50" x14ac:dyDescent="0.2">
      <c r="AV487" s="61" t="s">
        <v>196</v>
      </c>
      <c r="AW487" s="50" t="s">
        <v>569</v>
      </c>
      <c r="AX487" s="38" t="s">
        <v>570</v>
      </c>
    </row>
    <row r="488" spans="48:50" x14ac:dyDescent="0.2">
      <c r="AV488" s="55" t="s">
        <v>197</v>
      </c>
      <c r="AW488" s="31" t="s">
        <v>571</v>
      </c>
      <c r="AX488" s="32">
        <v>39</v>
      </c>
    </row>
    <row r="489" spans="48:50" x14ac:dyDescent="0.2">
      <c r="AV489" s="55" t="s">
        <v>197</v>
      </c>
      <c r="AW489" s="31" t="s">
        <v>572</v>
      </c>
      <c r="AX489" s="32">
        <v>58</v>
      </c>
    </row>
    <row r="490" spans="48:50" x14ac:dyDescent="0.2">
      <c r="AV490" s="55" t="s">
        <v>197</v>
      </c>
      <c r="AW490" s="31" t="s">
        <v>573</v>
      </c>
      <c r="AX490" s="32">
        <v>77</v>
      </c>
    </row>
    <row r="491" spans="48:50" x14ac:dyDescent="0.2">
      <c r="AV491" s="55" t="s">
        <v>197</v>
      </c>
      <c r="AW491" s="31" t="s">
        <v>574</v>
      </c>
      <c r="AX491" s="32">
        <v>89.5</v>
      </c>
    </row>
    <row r="492" spans="48:50" x14ac:dyDescent="0.2">
      <c r="AV492" s="55" t="s">
        <v>197</v>
      </c>
      <c r="AW492" s="31" t="s">
        <v>575</v>
      </c>
      <c r="AX492" s="32">
        <v>106.5</v>
      </c>
    </row>
    <row r="493" spans="48:50" x14ac:dyDescent="0.2">
      <c r="AV493" s="55" t="s">
        <v>197</v>
      </c>
      <c r="AW493" s="31" t="s">
        <v>576</v>
      </c>
      <c r="AX493" s="32">
        <v>132</v>
      </c>
    </row>
    <row r="494" spans="48:50" x14ac:dyDescent="0.2">
      <c r="AV494" s="55" t="s">
        <v>197</v>
      </c>
      <c r="AW494" s="31" t="s">
        <v>577</v>
      </c>
      <c r="AX494" s="32">
        <v>137.5</v>
      </c>
    </row>
    <row r="495" spans="48:50" x14ac:dyDescent="0.2">
      <c r="AV495" s="55" t="s">
        <v>197</v>
      </c>
      <c r="AW495" s="31" t="s">
        <v>578</v>
      </c>
      <c r="AX495" s="32">
        <v>160.5</v>
      </c>
    </row>
    <row r="496" spans="48:50" x14ac:dyDescent="0.2">
      <c r="AV496" s="55" t="s">
        <v>197</v>
      </c>
      <c r="AW496" s="31" t="s">
        <v>579</v>
      </c>
      <c r="AX496" s="32">
        <v>173.5</v>
      </c>
    </row>
    <row r="497" spans="48:53" x14ac:dyDescent="0.2">
      <c r="AV497" s="55" t="s">
        <v>197</v>
      </c>
      <c r="AW497" s="31" t="s">
        <v>580</v>
      </c>
      <c r="AX497" s="32">
        <v>220</v>
      </c>
    </row>
    <row r="498" spans="48:53" x14ac:dyDescent="0.2">
      <c r="AV498" s="55" t="s">
        <v>197</v>
      </c>
      <c r="AW498" s="31" t="s">
        <v>581</v>
      </c>
      <c r="AX498" s="32">
        <v>248</v>
      </c>
    </row>
    <row r="499" spans="48:53" x14ac:dyDescent="0.2">
      <c r="AV499" s="55" t="s">
        <v>197</v>
      </c>
      <c r="AW499" s="31" t="s">
        <v>582</v>
      </c>
      <c r="AX499" s="32">
        <v>275</v>
      </c>
    </row>
    <row r="500" spans="48:53" x14ac:dyDescent="0.2">
      <c r="AV500" s="55" t="s">
        <v>197</v>
      </c>
      <c r="AW500" s="31" t="s">
        <v>583</v>
      </c>
      <c r="AX500" s="32">
        <v>330</v>
      </c>
    </row>
    <row r="501" spans="48:53" x14ac:dyDescent="0.2">
      <c r="AV501" s="55" t="s">
        <v>197</v>
      </c>
      <c r="AW501" s="31" t="s">
        <v>584</v>
      </c>
      <c r="AX501" s="32">
        <v>825</v>
      </c>
    </row>
    <row r="502" spans="48:53" x14ac:dyDescent="0.2">
      <c r="AV502" s="3" t="s">
        <v>198</v>
      </c>
      <c r="AW502" s="62" t="s">
        <v>198</v>
      </c>
      <c r="AX502" s="62" t="s">
        <v>570</v>
      </c>
      <c r="AZ502" s="4"/>
      <c r="BA502" s="4"/>
    </row>
    <row r="503" spans="48:53" x14ac:dyDescent="0.2">
      <c r="AV503" s="3" t="s">
        <v>200</v>
      </c>
      <c r="AW503" s="62" t="s">
        <v>585</v>
      </c>
      <c r="AX503" s="62" t="s">
        <v>570</v>
      </c>
      <c r="AZ503" s="4"/>
      <c r="BA503" s="4"/>
    </row>
    <row r="504" spans="48:53" x14ac:dyDescent="0.2">
      <c r="AV504" s="3" t="s">
        <v>200</v>
      </c>
      <c r="AW504" s="62" t="s">
        <v>586</v>
      </c>
      <c r="AX504" s="62" t="s">
        <v>570</v>
      </c>
      <c r="AZ504" s="4"/>
      <c r="BA504" s="4"/>
    </row>
    <row r="505" spans="48:53" x14ac:dyDescent="0.2">
      <c r="AV505" s="3" t="s">
        <v>202</v>
      </c>
      <c r="AW505" s="62" t="s">
        <v>587</v>
      </c>
      <c r="AX505" s="62" t="s">
        <v>570</v>
      </c>
      <c r="AZ505" s="63"/>
      <c r="BA505" s="4"/>
    </row>
    <row r="506" spans="48:53" x14ac:dyDescent="0.2">
      <c r="AV506" s="3" t="s">
        <v>202</v>
      </c>
      <c r="AW506" s="62" t="s">
        <v>588</v>
      </c>
      <c r="AX506" s="62" t="s">
        <v>570</v>
      </c>
      <c r="AZ506" s="63"/>
      <c r="BA506" s="4"/>
    </row>
    <row r="507" spans="48:53" x14ac:dyDescent="0.2">
      <c r="AV507" s="3" t="s">
        <v>202</v>
      </c>
      <c r="AW507" s="62" t="s">
        <v>589</v>
      </c>
      <c r="AX507" s="62" t="s">
        <v>570</v>
      </c>
      <c r="AZ507" s="63"/>
      <c r="BA507" s="4"/>
    </row>
    <row r="508" spans="48:53" x14ac:dyDescent="0.2">
      <c r="AV508" s="3" t="s">
        <v>202</v>
      </c>
      <c r="AW508" s="62" t="s">
        <v>590</v>
      </c>
      <c r="AX508" s="62" t="s">
        <v>570</v>
      </c>
      <c r="AZ508" s="4"/>
      <c r="BA508" s="4"/>
    </row>
    <row r="509" spans="48:53" x14ac:dyDescent="0.2">
      <c r="AV509" s="3" t="s">
        <v>202</v>
      </c>
      <c r="AW509" s="62" t="s">
        <v>591</v>
      </c>
      <c r="AX509" s="62" t="s">
        <v>570</v>
      </c>
      <c r="AZ509" s="63"/>
      <c r="BA509" s="4"/>
    </row>
    <row r="510" spans="48:53" x14ac:dyDescent="0.2">
      <c r="AV510" s="3" t="s">
        <v>202</v>
      </c>
      <c r="AW510" s="62" t="s">
        <v>592</v>
      </c>
      <c r="AX510" s="62" t="s">
        <v>570</v>
      </c>
    </row>
    <row r="511" spans="48:53" x14ac:dyDescent="0.2">
      <c r="AV511" s="3" t="s">
        <v>202</v>
      </c>
      <c r="AW511" s="62" t="s">
        <v>593</v>
      </c>
      <c r="AX511" s="62" t="s">
        <v>570</v>
      </c>
    </row>
    <row r="512" spans="48:53" x14ac:dyDescent="0.2">
      <c r="AV512" s="3" t="s">
        <v>202</v>
      </c>
      <c r="AW512" s="62" t="s">
        <v>594</v>
      </c>
      <c r="AX512" s="62" t="s">
        <v>570</v>
      </c>
    </row>
    <row r="513" spans="48:50" x14ac:dyDescent="0.2">
      <c r="AV513" s="3" t="s">
        <v>202</v>
      </c>
      <c r="AW513" s="62" t="s">
        <v>595</v>
      </c>
      <c r="AX513" s="62" t="s">
        <v>570</v>
      </c>
    </row>
    <row r="514" spans="48:50" x14ac:dyDescent="0.2">
      <c r="AV514" s="3" t="s">
        <v>202</v>
      </c>
      <c r="AW514" s="62" t="s">
        <v>596</v>
      </c>
      <c r="AX514" s="62" t="s">
        <v>570</v>
      </c>
    </row>
    <row r="515" spans="48:50" x14ac:dyDescent="0.2">
      <c r="AV515" s="64" t="s">
        <v>204</v>
      </c>
      <c r="AW515" s="62" t="s">
        <v>597</v>
      </c>
      <c r="AX515" s="62" t="s">
        <v>570</v>
      </c>
    </row>
    <row r="516" spans="48:50" x14ac:dyDescent="0.2">
      <c r="AV516" s="64" t="s">
        <v>204</v>
      </c>
      <c r="AW516" s="62" t="s">
        <v>598</v>
      </c>
      <c r="AX516" s="62" t="s">
        <v>570</v>
      </c>
    </row>
    <row r="517" spans="48:50" x14ac:dyDescent="0.2">
      <c r="AV517" s="64" t="s">
        <v>204</v>
      </c>
      <c r="AW517" s="62" t="s">
        <v>599</v>
      </c>
      <c r="AX517" s="62" t="s">
        <v>570</v>
      </c>
    </row>
    <row r="518" spans="48:50" x14ac:dyDescent="0.2">
      <c r="AV518" s="64" t="s">
        <v>204</v>
      </c>
      <c r="AW518" s="62" t="s">
        <v>600</v>
      </c>
      <c r="AX518" s="62" t="s">
        <v>570</v>
      </c>
    </row>
    <row r="519" spans="48:50" x14ac:dyDescent="0.2">
      <c r="AV519" s="64" t="s">
        <v>204</v>
      </c>
      <c r="AW519" s="62" t="s">
        <v>601</v>
      </c>
      <c r="AX519" s="62" t="s">
        <v>570</v>
      </c>
    </row>
    <row r="520" spans="48:50" x14ac:dyDescent="0.2">
      <c r="AV520" s="64" t="s">
        <v>204</v>
      </c>
      <c r="AW520" s="62" t="s">
        <v>602</v>
      </c>
      <c r="AX520" s="62" t="s">
        <v>570</v>
      </c>
    </row>
    <row r="521" spans="48:50" x14ac:dyDescent="0.2">
      <c r="AV521" s="64" t="s">
        <v>204</v>
      </c>
      <c r="AW521" s="62" t="s">
        <v>603</v>
      </c>
      <c r="AX521" s="62" t="s">
        <v>570</v>
      </c>
    </row>
    <row r="522" spans="48:50" x14ac:dyDescent="0.2">
      <c r="AV522" s="64" t="s">
        <v>204</v>
      </c>
      <c r="AW522" s="62" t="s">
        <v>604</v>
      </c>
      <c r="AX522" s="62" t="s">
        <v>570</v>
      </c>
    </row>
    <row r="523" spans="48:50" x14ac:dyDescent="0.2">
      <c r="AV523" s="64" t="s">
        <v>204</v>
      </c>
      <c r="AW523" s="62" t="s">
        <v>605</v>
      </c>
      <c r="AX523" s="62" t="s">
        <v>570</v>
      </c>
    </row>
    <row r="524" spans="48:50" x14ac:dyDescent="0.2">
      <c r="AV524" s="64" t="s">
        <v>204</v>
      </c>
      <c r="AW524" s="62" t="s">
        <v>606</v>
      </c>
      <c r="AX524" s="62" t="s">
        <v>570</v>
      </c>
    </row>
    <row r="525" spans="48:50" x14ac:dyDescent="0.2">
      <c r="AV525" s="64" t="s">
        <v>204</v>
      </c>
      <c r="AW525" s="62" t="s">
        <v>607</v>
      </c>
      <c r="AX525" s="62" t="s">
        <v>570</v>
      </c>
    </row>
    <row r="526" spans="48:50" x14ac:dyDescent="0.2">
      <c r="AV526" s="64" t="s">
        <v>204</v>
      </c>
      <c r="AW526" s="62" t="s">
        <v>608</v>
      </c>
      <c r="AX526" s="62" t="s">
        <v>570</v>
      </c>
    </row>
    <row r="527" spans="48:50" x14ac:dyDescent="0.2">
      <c r="AV527" s="64" t="s">
        <v>204</v>
      </c>
      <c r="AW527" s="62" t="s">
        <v>609</v>
      </c>
      <c r="AX527" s="62" t="s">
        <v>570</v>
      </c>
    </row>
    <row r="528" spans="48:50" x14ac:dyDescent="0.2">
      <c r="AV528" s="64" t="s">
        <v>204</v>
      </c>
      <c r="AW528" s="62" t="s">
        <v>610</v>
      </c>
      <c r="AX528" s="62" t="s">
        <v>570</v>
      </c>
    </row>
    <row r="529" spans="48:50" x14ac:dyDescent="0.2">
      <c r="AV529" s="64" t="s">
        <v>206</v>
      </c>
      <c r="AW529" s="62" t="s">
        <v>611</v>
      </c>
      <c r="AX529" s="62" t="s">
        <v>570</v>
      </c>
    </row>
    <row r="530" spans="48:50" x14ac:dyDescent="0.2">
      <c r="AV530" s="64" t="s">
        <v>206</v>
      </c>
      <c r="AW530" s="62" t="s">
        <v>612</v>
      </c>
      <c r="AX530" s="62" t="s">
        <v>570</v>
      </c>
    </row>
    <row r="531" spans="48:50" x14ac:dyDescent="0.2">
      <c r="AV531" s="64" t="s">
        <v>206</v>
      </c>
      <c r="AW531" s="62" t="s">
        <v>613</v>
      </c>
      <c r="AX531" s="62" t="s">
        <v>570</v>
      </c>
    </row>
    <row r="532" spans="48:50" x14ac:dyDescent="0.2">
      <c r="AV532" s="64" t="s">
        <v>206</v>
      </c>
      <c r="AW532" s="62" t="s">
        <v>614</v>
      </c>
      <c r="AX532" s="62" t="s">
        <v>570</v>
      </c>
    </row>
    <row r="533" spans="48:50" x14ac:dyDescent="0.2">
      <c r="AV533" s="64" t="s">
        <v>206</v>
      </c>
      <c r="AW533" s="62" t="s">
        <v>615</v>
      </c>
      <c r="AX533" s="62" t="s">
        <v>570</v>
      </c>
    </row>
    <row r="534" spans="48:50" x14ac:dyDescent="0.2">
      <c r="AV534" s="64" t="s">
        <v>206</v>
      </c>
      <c r="AW534" s="62" t="s">
        <v>616</v>
      </c>
      <c r="AX534" s="62" t="s">
        <v>570</v>
      </c>
    </row>
    <row r="535" spans="48:50" x14ac:dyDescent="0.2">
      <c r="AV535" s="64" t="s">
        <v>208</v>
      </c>
      <c r="AW535" s="62" t="s">
        <v>617</v>
      </c>
      <c r="AX535" s="62" t="s">
        <v>570</v>
      </c>
    </row>
    <row r="536" spans="48:50" x14ac:dyDescent="0.2">
      <c r="AV536" s="64" t="s">
        <v>208</v>
      </c>
      <c r="AW536" s="62" t="s">
        <v>618</v>
      </c>
      <c r="AX536" s="62" t="s">
        <v>570</v>
      </c>
    </row>
    <row r="537" spans="48:50" x14ac:dyDescent="0.2">
      <c r="AV537" s="64" t="s">
        <v>208</v>
      </c>
      <c r="AW537" s="62" t="s">
        <v>619</v>
      </c>
      <c r="AX537" s="62" t="s">
        <v>570</v>
      </c>
    </row>
    <row r="538" spans="48:50" x14ac:dyDescent="0.2">
      <c r="AV538" s="64" t="s">
        <v>208</v>
      </c>
      <c r="AW538" s="62" t="s">
        <v>620</v>
      </c>
      <c r="AX538" s="62" t="s">
        <v>570</v>
      </c>
    </row>
    <row r="539" spans="48:50" x14ac:dyDescent="0.2">
      <c r="AV539" s="64" t="s">
        <v>208</v>
      </c>
      <c r="AW539" s="62" t="s">
        <v>621</v>
      </c>
      <c r="AX539" s="62" t="s">
        <v>570</v>
      </c>
    </row>
    <row r="540" spans="48:50" x14ac:dyDescent="0.2">
      <c r="AV540" s="64" t="s">
        <v>208</v>
      </c>
      <c r="AW540" s="62" t="s">
        <v>622</v>
      </c>
      <c r="AX540" s="62" t="s">
        <v>570</v>
      </c>
    </row>
    <row r="541" spans="48:50" x14ac:dyDescent="0.2">
      <c r="AV541" s="3" t="s">
        <v>210</v>
      </c>
      <c r="AW541" s="62" t="s">
        <v>623</v>
      </c>
      <c r="AX541" s="62" t="s">
        <v>570</v>
      </c>
    </row>
    <row r="542" spans="48:50" x14ac:dyDescent="0.2">
      <c r="AV542" s="3" t="s">
        <v>210</v>
      </c>
      <c r="AW542" s="62" t="s">
        <v>624</v>
      </c>
      <c r="AX542" s="62" t="s">
        <v>570</v>
      </c>
    </row>
    <row r="543" spans="48:50" x14ac:dyDescent="0.2">
      <c r="AV543" s="64" t="s">
        <v>212</v>
      </c>
      <c r="AW543" s="62" t="s">
        <v>625</v>
      </c>
      <c r="AX543" s="62" t="s">
        <v>570</v>
      </c>
    </row>
    <row r="544" spans="48:50" x14ac:dyDescent="0.2">
      <c r="AV544" s="64" t="s">
        <v>212</v>
      </c>
      <c r="AW544" s="62" t="s">
        <v>626</v>
      </c>
      <c r="AX544" s="62" t="s">
        <v>570</v>
      </c>
    </row>
    <row r="545" spans="48:50" x14ac:dyDescent="0.2">
      <c r="AV545" s="64" t="s">
        <v>212</v>
      </c>
      <c r="AW545" s="62" t="s">
        <v>627</v>
      </c>
      <c r="AX545" s="62" t="s">
        <v>570</v>
      </c>
    </row>
    <row r="546" spans="48:50" x14ac:dyDescent="0.2">
      <c r="AV546" s="64" t="s">
        <v>212</v>
      </c>
      <c r="AW546" s="62" t="s">
        <v>628</v>
      </c>
      <c r="AX546" s="62" t="s">
        <v>570</v>
      </c>
    </row>
    <row r="547" spans="48:50" x14ac:dyDescent="0.2">
      <c r="AV547" s="64" t="s">
        <v>212</v>
      </c>
      <c r="AW547" s="62" t="s">
        <v>629</v>
      </c>
      <c r="AX547" s="62" t="s">
        <v>570</v>
      </c>
    </row>
    <row r="548" spans="48:50" x14ac:dyDescent="0.2">
      <c r="AV548" s="64" t="s">
        <v>212</v>
      </c>
      <c r="AW548" s="62" t="s">
        <v>630</v>
      </c>
      <c r="AX548" s="62" t="s">
        <v>570</v>
      </c>
    </row>
    <row r="549" spans="48:50" x14ac:dyDescent="0.2">
      <c r="AV549" s="64" t="s">
        <v>212</v>
      </c>
      <c r="AW549" s="62" t="s">
        <v>631</v>
      </c>
      <c r="AX549" s="62" t="s">
        <v>570</v>
      </c>
    </row>
    <row r="550" spans="48:50" x14ac:dyDescent="0.2">
      <c r="AV550" s="65" t="s">
        <v>214</v>
      </c>
      <c r="AW550" s="31" t="s">
        <v>632</v>
      </c>
      <c r="AX550" s="32">
        <v>50</v>
      </c>
    </row>
    <row r="551" spans="48:50" x14ac:dyDescent="0.2">
      <c r="AV551" s="65" t="s">
        <v>214</v>
      </c>
      <c r="AW551" s="31" t="s">
        <v>633</v>
      </c>
      <c r="AX551" s="32">
        <v>74.5</v>
      </c>
    </row>
    <row r="552" spans="48:50" x14ac:dyDescent="0.2">
      <c r="AV552" s="65" t="s">
        <v>214</v>
      </c>
      <c r="AW552" s="31" t="s">
        <v>634</v>
      </c>
      <c r="AX552" s="32">
        <v>94</v>
      </c>
    </row>
    <row r="553" spans="48:50" x14ac:dyDescent="0.2">
      <c r="AV553" s="65" t="s">
        <v>214</v>
      </c>
      <c r="AW553" s="31" t="s">
        <v>635</v>
      </c>
      <c r="AX553" s="32">
        <v>123.5</v>
      </c>
    </row>
    <row r="554" spans="48:50" x14ac:dyDescent="0.2">
      <c r="AV554" s="65" t="s">
        <v>214</v>
      </c>
      <c r="AW554" s="31" t="s">
        <v>636</v>
      </c>
      <c r="AX554" s="32">
        <v>205</v>
      </c>
    </row>
    <row r="555" spans="48:50" x14ac:dyDescent="0.2">
      <c r="AV555" s="65" t="s">
        <v>214</v>
      </c>
      <c r="AW555" s="31" t="s">
        <v>637</v>
      </c>
      <c r="AX555" s="32">
        <v>287.5</v>
      </c>
    </row>
    <row r="556" spans="48:50" x14ac:dyDescent="0.2">
      <c r="AV556" s="65" t="s">
        <v>214</v>
      </c>
      <c r="AW556" s="31" t="s">
        <v>638</v>
      </c>
      <c r="AX556" s="32">
        <v>454.5</v>
      </c>
    </row>
    <row r="557" spans="48:50" x14ac:dyDescent="0.2">
      <c r="AV557" s="65" t="s">
        <v>214</v>
      </c>
      <c r="AW557" s="31" t="s">
        <v>639</v>
      </c>
      <c r="AX557" s="32">
        <v>1077.5</v>
      </c>
    </row>
    <row r="558" spans="48:50" x14ac:dyDescent="0.2">
      <c r="AV558" s="45" t="s">
        <v>216</v>
      </c>
      <c r="AW558" s="31" t="s">
        <v>640</v>
      </c>
      <c r="AX558" s="32">
        <v>25</v>
      </c>
    </row>
    <row r="559" spans="48:50" x14ac:dyDescent="0.2">
      <c r="AV559" s="45" t="s">
        <v>216</v>
      </c>
      <c r="AW559" s="31" t="s">
        <v>641</v>
      </c>
      <c r="AX559" s="32">
        <v>40</v>
      </c>
    </row>
    <row r="560" spans="48:50" x14ac:dyDescent="0.2">
      <c r="AV560" s="45" t="s">
        <v>216</v>
      </c>
      <c r="AW560" s="31" t="s">
        <v>642</v>
      </c>
      <c r="AX560" s="32">
        <v>52</v>
      </c>
    </row>
    <row r="561" spans="48:50" x14ac:dyDescent="0.2">
      <c r="AV561" s="45" t="s">
        <v>216</v>
      </c>
      <c r="AW561" s="31" t="s">
        <v>643</v>
      </c>
      <c r="AX561" s="32">
        <v>64.5</v>
      </c>
    </row>
    <row r="562" spans="48:50" x14ac:dyDescent="0.2">
      <c r="AV562" s="45" t="s">
        <v>216</v>
      </c>
      <c r="AW562" s="31" t="s">
        <v>644</v>
      </c>
      <c r="AX562" s="32">
        <v>93.5</v>
      </c>
    </row>
    <row r="563" spans="48:50" x14ac:dyDescent="0.2">
      <c r="AV563" s="45" t="s">
        <v>216</v>
      </c>
      <c r="AW563" s="31" t="s">
        <v>645</v>
      </c>
      <c r="AX563" s="32">
        <v>126</v>
      </c>
    </row>
    <row r="564" spans="48:50" x14ac:dyDescent="0.2">
      <c r="AV564" s="45" t="s">
        <v>216</v>
      </c>
      <c r="AW564" s="31" t="s">
        <v>646</v>
      </c>
      <c r="AX564" s="32">
        <v>178.5</v>
      </c>
    </row>
    <row r="565" spans="48:50" x14ac:dyDescent="0.2">
      <c r="AV565" s="45" t="s">
        <v>216</v>
      </c>
      <c r="AW565" s="31" t="s">
        <v>647</v>
      </c>
      <c r="AX565" s="32">
        <v>209.5</v>
      </c>
    </row>
    <row r="566" spans="48:50" x14ac:dyDescent="0.2">
      <c r="AV566" s="45" t="s">
        <v>216</v>
      </c>
      <c r="AW566" s="31" t="s">
        <v>648</v>
      </c>
      <c r="AX566" s="32">
        <v>232</v>
      </c>
    </row>
    <row r="567" spans="48:50" x14ac:dyDescent="0.2">
      <c r="AV567" s="45" t="s">
        <v>216</v>
      </c>
      <c r="AW567" s="31" t="s">
        <v>649</v>
      </c>
      <c r="AX567" s="32">
        <v>293</v>
      </c>
    </row>
    <row r="568" spans="48:50" x14ac:dyDescent="0.2">
      <c r="AV568" s="45" t="s">
        <v>216</v>
      </c>
      <c r="AW568" s="31" t="s">
        <v>650</v>
      </c>
      <c r="AX568" s="32">
        <v>455</v>
      </c>
    </row>
    <row r="569" spans="48:50" x14ac:dyDescent="0.2">
      <c r="AV569" s="45" t="s">
        <v>216</v>
      </c>
      <c r="AW569" s="31" t="s">
        <v>651</v>
      </c>
      <c r="AX569" s="32">
        <v>1078.5</v>
      </c>
    </row>
    <row r="570" spans="48:50" x14ac:dyDescent="0.2">
      <c r="AV570" s="45" t="s">
        <v>216</v>
      </c>
      <c r="AW570" s="31" t="s">
        <v>652</v>
      </c>
      <c r="AX570" s="32">
        <v>1609</v>
      </c>
    </row>
    <row r="571" spans="48:50" x14ac:dyDescent="0.2">
      <c r="AV571" s="45" t="s">
        <v>216</v>
      </c>
      <c r="AW571" s="31" t="s">
        <v>653</v>
      </c>
      <c r="AX571" s="32">
        <v>1765</v>
      </c>
    </row>
    <row r="572" spans="48:50" x14ac:dyDescent="0.2">
      <c r="AV572" s="45" t="s">
        <v>216</v>
      </c>
      <c r="AW572" s="31" t="s">
        <v>654</v>
      </c>
      <c r="AX572" s="32">
        <v>2140</v>
      </c>
    </row>
    <row r="573" spans="48:50" x14ac:dyDescent="0.2">
      <c r="AV573" s="36" t="s">
        <v>218</v>
      </c>
      <c r="AW573" s="31" t="s">
        <v>655</v>
      </c>
      <c r="AX573" s="32">
        <v>67</v>
      </c>
    </row>
    <row r="574" spans="48:50" x14ac:dyDescent="0.2">
      <c r="AV574" s="36" t="s">
        <v>218</v>
      </c>
      <c r="AW574" s="31" t="s">
        <v>656</v>
      </c>
      <c r="AX574" s="32">
        <v>87.5</v>
      </c>
    </row>
    <row r="575" spans="48:50" x14ac:dyDescent="0.2">
      <c r="AV575" s="36" t="s">
        <v>218</v>
      </c>
      <c r="AW575" s="31" t="s">
        <v>657</v>
      </c>
      <c r="AX575" s="32">
        <v>123</v>
      </c>
    </row>
    <row r="576" spans="48:50" x14ac:dyDescent="0.2">
      <c r="AV576" s="36" t="s">
        <v>218</v>
      </c>
      <c r="AW576" s="31" t="s">
        <v>658</v>
      </c>
      <c r="AX576" s="32">
        <v>145.5</v>
      </c>
    </row>
    <row r="577" spans="48:50" x14ac:dyDescent="0.2">
      <c r="AV577" s="36" t="s">
        <v>218</v>
      </c>
      <c r="AW577" s="31" t="s">
        <v>659</v>
      </c>
      <c r="AX577" s="32">
        <v>181</v>
      </c>
    </row>
    <row r="578" spans="48:50" x14ac:dyDescent="0.2">
      <c r="AV578" s="36" t="s">
        <v>218</v>
      </c>
      <c r="AW578" s="31" t="s">
        <v>660</v>
      </c>
      <c r="AX578" s="32">
        <v>198.5</v>
      </c>
    </row>
    <row r="579" spans="48:50" x14ac:dyDescent="0.2">
      <c r="AV579" s="36" t="s">
        <v>218</v>
      </c>
      <c r="AW579" s="31" t="s">
        <v>661</v>
      </c>
      <c r="AX579" s="32">
        <v>225</v>
      </c>
    </row>
    <row r="580" spans="48:50" x14ac:dyDescent="0.2">
      <c r="AV580" s="36" t="s">
        <v>218</v>
      </c>
      <c r="AW580" s="31" t="s">
        <v>662</v>
      </c>
      <c r="AX580" s="32">
        <v>281</v>
      </c>
    </row>
    <row r="581" spans="48:50" x14ac:dyDescent="0.2">
      <c r="AV581" s="36" t="s">
        <v>218</v>
      </c>
      <c r="AW581" s="31" t="s">
        <v>663</v>
      </c>
      <c r="AX581" s="32">
        <v>356</v>
      </c>
    </row>
    <row r="582" spans="48:50" x14ac:dyDescent="0.2">
      <c r="AV582" s="36" t="s">
        <v>218</v>
      </c>
      <c r="AW582" s="31" t="s">
        <v>664</v>
      </c>
      <c r="AX582" s="32">
        <v>392.5</v>
      </c>
    </row>
    <row r="583" spans="48:50" x14ac:dyDescent="0.2">
      <c r="AV583" s="36" t="s">
        <v>218</v>
      </c>
      <c r="AW583" s="31" t="s">
        <v>665</v>
      </c>
      <c r="AX583" s="32">
        <v>445</v>
      </c>
    </row>
    <row r="584" spans="48:50" x14ac:dyDescent="0.2">
      <c r="AV584" s="36" t="s">
        <v>218</v>
      </c>
      <c r="AW584" s="31" t="s">
        <v>666</v>
      </c>
      <c r="AX584" s="32">
        <v>493</v>
      </c>
    </row>
    <row r="585" spans="48:50" x14ac:dyDescent="0.2">
      <c r="AV585" s="36" t="s">
        <v>218</v>
      </c>
      <c r="AW585" s="31" t="s">
        <v>667</v>
      </c>
      <c r="AX585" s="32">
        <v>812</v>
      </c>
    </row>
    <row r="586" spans="48:50" x14ac:dyDescent="0.2">
      <c r="AV586" s="36" t="s">
        <v>218</v>
      </c>
      <c r="AW586" s="31" t="s">
        <v>668</v>
      </c>
      <c r="AX586" s="32">
        <v>855</v>
      </c>
    </row>
    <row r="587" spans="48:50" x14ac:dyDescent="0.2">
      <c r="AV587" s="36" t="s">
        <v>218</v>
      </c>
      <c r="AW587" s="31" t="s">
        <v>669</v>
      </c>
      <c r="AX587" s="32">
        <v>950</v>
      </c>
    </row>
    <row r="588" spans="48:50" x14ac:dyDescent="0.2">
      <c r="AV588" s="36" t="s">
        <v>218</v>
      </c>
      <c r="AW588" s="31" t="s">
        <v>670</v>
      </c>
      <c r="AX588" s="32">
        <v>1080</v>
      </c>
    </row>
    <row r="589" spans="48:50" x14ac:dyDescent="0.2">
      <c r="AV589" s="34" t="s">
        <v>220</v>
      </c>
      <c r="AW589" s="31" t="s">
        <v>671</v>
      </c>
      <c r="AX589" s="32">
        <v>14.7</v>
      </c>
    </row>
    <row r="590" spans="48:50" x14ac:dyDescent="0.2">
      <c r="AV590" s="34" t="s">
        <v>220</v>
      </c>
      <c r="AW590" s="31" t="s">
        <v>672</v>
      </c>
      <c r="AX590" s="32">
        <v>12.5</v>
      </c>
    </row>
    <row r="591" spans="48:50" x14ac:dyDescent="0.2">
      <c r="AV591" s="34" t="s">
        <v>220</v>
      </c>
      <c r="AW591" s="31" t="s">
        <v>673</v>
      </c>
      <c r="AX591" s="32">
        <v>10.1</v>
      </c>
    </row>
    <row r="592" spans="48:50" x14ac:dyDescent="0.2">
      <c r="AV592" s="34" t="s">
        <v>220</v>
      </c>
      <c r="AW592" s="31" t="s">
        <v>674</v>
      </c>
      <c r="AX592" s="32">
        <v>8.1</v>
      </c>
    </row>
    <row r="593" spans="48:50" x14ac:dyDescent="0.2">
      <c r="AV593" s="34" t="s">
        <v>220</v>
      </c>
      <c r="AW593" s="31" t="s">
        <v>675</v>
      </c>
      <c r="AX593" s="32">
        <v>7.4</v>
      </c>
    </row>
    <row r="594" spans="48:50" x14ac:dyDescent="0.2">
      <c r="AV594" s="34" t="s">
        <v>220</v>
      </c>
      <c r="AW594" s="31" t="s">
        <v>676</v>
      </c>
      <c r="AX594" s="32">
        <v>7</v>
      </c>
    </row>
    <row r="595" spans="48:50" x14ac:dyDescent="0.2">
      <c r="AV595" s="34" t="s">
        <v>220</v>
      </c>
      <c r="AW595" s="31" t="s">
        <v>677</v>
      </c>
      <c r="AX595" s="32">
        <v>6.8</v>
      </c>
    </row>
    <row r="596" spans="48:50" x14ac:dyDescent="0.2">
      <c r="AV596" s="34" t="s">
        <v>220</v>
      </c>
      <c r="AW596" s="31" t="s">
        <v>678</v>
      </c>
      <c r="AX596" s="32">
        <v>5.8</v>
      </c>
    </row>
    <row r="597" spans="48:50" x14ac:dyDescent="0.2">
      <c r="AV597" s="34" t="s">
        <v>220</v>
      </c>
      <c r="AW597" s="31" t="s">
        <v>679</v>
      </c>
      <c r="AX597" s="32">
        <v>4.8</v>
      </c>
    </row>
    <row r="598" spans="48:50" x14ac:dyDescent="0.2">
      <c r="AV598" s="34" t="s">
        <v>220</v>
      </c>
      <c r="AW598" s="31" t="s">
        <v>680</v>
      </c>
      <c r="AX598" s="32">
        <v>4</v>
      </c>
    </row>
    <row r="599" spans="48:50" x14ac:dyDescent="0.2">
      <c r="AV599" s="34" t="s">
        <v>220</v>
      </c>
      <c r="AW599" s="31" t="s">
        <v>681</v>
      </c>
      <c r="AX599" s="32">
        <v>3.2</v>
      </c>
    </row>
    <row r="600" spans="48:50" x14ac:dyDescent="0.2">
      <c r="AV600" s="66" t="s">
        <v>221</v>
      </c>
      <c r="AW600" s="62" t="s">
        <v>104</v>
      </c>
      <c r="AX600" s="62">
        <v>0</v>
      </c>
    </row>
    <row r="601" spans="48:50" x14ac:dyDescent="0.2">
      <c r="AV601" s="66" t="s">
        <v>221</v>
      </c>
      <c r="AW601" s="62" t="s">
        <v>682</v>
      </c>
      <c r="AX601" s="67" t="s">
        <v>570</v>
      </c>
    </row>
  </sheetData>
  <sheetProtection algorithmName="SHA-512" hashValue="i/Bano8ss2eWMBH1J6a6ucTQne6fxzGhrkVen4YhychDVRsZ6pwFpKPrlNk0z3B4+Mo5hVkUWiAbRwglFAYRew==" saltValue="8xYbTp77URZO4rUcKJBSng==" spinCount="100000" sheet="1" formatCells="0" formatRows="0"/>
  <mergeCells count="17">
    <mergeCell ref="X19:Y19"/>
    <mergeCell ref="B18:J18"/>
    <mergeCell ref="AC18:AF18"/>
    <mergeCell ref="Z19:AA19"/>
    <mergeCell ref="K18:Q18"/>
    <mergeCell ref="R18:V18"/>
    <mergeCell ref="W18:AB18"/>
    <mergeCell ref="D3:G3"/>
    <mergeCell ref="D1:G2"/>
    <mergeCell ref="K4:L4"/>
    <mergeCell ref="AG18:AO18"/>
    <mergeCell ref="L5:M5"/>
    <mergeCell ref="L6:M6"/>
    <mergeCell ref="L7:M7"/>
    <mergeCell ref="L9:M9"/>
    <mergeCell ref="L10:M10"/>
    <mergeCell ref="AD3:AG4"/>
  </mergeCells>
  <conditionalFormatting sqref="G20:G69">
    <cfRule type="cellIs" dxfId="4" priority="6" operator="greaterThan">
      <formula>0</formula>
    </cfRule>
  </conditionalFormatting>
  <conditionalFormatting sqref="O20:O69">
    <cfRule type="cellIs" dxfId="3" priority="5" operator="greaterThan">
      <formula>0</formula>
    </cfRule>
  </conditionalFormatting>
  <conditionalFormatting sqref="N20:N69">
    <cfRule type="cellIs" dxfId="2" priority="3" operator="equal">
      <formula>"Enter Watts"</formula>
    </cfRule>
  </conditionalFormatting>
  <conditionalFormatting sqref="F20:F69">
    <cfRule type="cellIs" dxfId="1" priority="2" operator="equal">
      <formula>"Enter Watts"</formula>
    </cfRule>
  </conditionalFormatting>
  <conditionalFormatting sqref="AK70">
    <cfRule type="cellIs" dxfId="0" priority="1" operator="greaterThanOrEqual">
      <formula>10000</formula>
    </cfRule>
  </conditionalFormatting>
  <dataValidations xWindow="887" yWindow="338" count="41">
    <dataValidation type="list" allowBlank="1" showInputMessage="1" showErrorMessage="1" prompt="Select a specific fixture or type of lamp for the proposed lighting." sqref="L20:L69" xr:uid="{00000000-0002-0000-0000-000000000000}">
      <formula1>IF(K20&gt;0,INDIRECT(VLOOKUP(K20,$AV$123:$AW$168,2,FALSE)),LightingCategoryCompleteList)</formula1>
    </dataValidation>
    <dataValidation type="list" allowBlank="1" showInputMessage="1" showErrorMessage="1" sqref="L13" xr:uid="{00000000-0002-0000-0000-000001000000}">
      <formula1>$AV$94:$AV$95</formula1>
    </dataValidation>
    <dataValidation type="list" allowBlank="1" showInputMessage="1" showErrorMessage="1" prompt="Select the appropriate type of lighitng controls for the fixtures on this line, or choose &quot;None&quot; if no controls. _x000a__x000a_Refer to Focus on Energy Lighting Catalog for full details to quality. " sqref="M20:M69" xr:uid="{00000000-0002-0000-0000-000002000000}">
      <formula1>$AW$94:$AW$107</formula1>
    </dataValidation>
    <dataValidation allowBlank="1" showInputMessage="1" showErrorMessage="1" prompt="Describe where the lighting on the line item is located within the building. This is just an identifier to assist with matching up with other project documents. " sqref="C19:C69" xr:uid="{00000000-0002-0000-0000-000003000000}"/>
    <dataValidation type="list" allowBlank="1" showInputMessage="1" showErrorMessage="1" prompt="Select a general category for the existing lighting." sqref="D20:D69" xr:uid="{00000000-0002-0000-0000-000004000000}">
      <formula1>$AV$123:$AV$168</formula1>
    </dataValidation>
    <dataValidation type="list" allowBlank="1" showInputMessage="1" showErrorMessage="1" prompt="Select a specific fixture or type of lamp for the existing lighting." sqref="E20:E69" xr:uid="{00000000-0002-0000-0000-000005000000}">
      <formula1>IF(D20&gt;0,INDIRECT(VLOOKUP(D20,$AV$123:$AW$168,2,FALSE)),LightingCategoryCompleteList)</formula1>
    </dataValidation>
    <dataValidation allowBlank="1" showInputMessage="1" showErrorMessage="1" prompt="Select a specific fixture or type of lamp for the existing lighting." sqref="E19" xr:uid="{00000000-0002-0000-0000-000006000000}"/>
    <dataValidation allowBlank="1" showInputMessage="1" showErrorMessage="1" prompt="Select a general category for the existing lighting." sqref="D19" xr:uid="{00000000-0002-0000-0000-000007000000}"/>
    <dataValidation allowBlank="1" showInputMessage="1" showErrorMessage="1" prompt="Enter a note about this fixture/lamp to document any unusual or important characteristics about it. A note is required if the &quot;Manual Input Watts&quot; field is used." sqref="H19:H69 P19:P69" xr:uid="{00000000-0002-0000-0000-000008000000}"/>
    <dataValidation allowBlank="1" showInputMessage="1" showErrorMessage="1" prompt="Enter the existing quantity of fixtures (or quantity of lamps if a lamp-only existing lighting type is chosen, such as screw-in LED)" sqref="I19:I69" xr:uid="{00000000-0002-0000-0000-000009000000}"/>
    <dataValidation allowBlank="1" showInputMessage="1" showErrorMessage="1" prompt="Default wattage as recommended by Focus on Energy. Can be over-ridden using &quot;Manual Input Watts&quot; column if more specific data on the existing fixtures is available, such as a spec sheet or measured wattage. " sqref="F19:F69" xr:uid="{00000000-0002-0000-0000-00000A000000}"/>
    <dataValidation allowBlank="1" showInputMessage="1" showErrorMessage="1" prompt="Default wattage as recommended by Focus on Energy. Can be over-ridden using &quot;Manual Input Watts&quot; column if more specific data on the proposed fixtures is available, such as a spec sheet or measured wattage. All LED needs a manual input watts entry." sqref="N19:N69" xr:uid="{00000000-0002-0000-0000-00000B000000}"/>
    <dataValidation allowBlank="1" showInputMessage="1" showErrorMessage="1" prompt="If the Manual Input Watts field is used, enter a note in the &quot;Description / Notes&quot; column and provide additional supporting documentation that shows the fixture (or lamp) wattage, such as a spec sheet." sqref="G19:G69 O19:O69" xr:uid="{00000000-0002-0000-0000-00000C000000}"/>
    <dataValidation type="whole" allowBlank="1" showInputMessage="1" showErrorMessage="1" errorTitle="Invalid hours per year" error="Hours per year must be between 0 and 8760." prompt="Annual hours of operation for the lighting: use 8,760 for 24/7 operation, use 4,380 for dusk-to-dawn, or other value as appropriate. " sqref="J20:J69" xr:uid="{00000000-0002-0000-0000-00000D000000}">
      <formula1>0</formula1>
      <formula2>8760</formula2>
    </dataValidation>
    <dataValidation allowBlank="1" showInputMessage="1" showErrorMessage="1" errorTitle="Invalid hours per year" error="Hours per year must be between 0 and 8760." prompt="Annual hours of operation for the lighting: use 8,760 for 24/7 operation, use 4,380 for dusk-to-dawn, or other value as appropriate. " sqref="J19" xr:uid="{00000000-0002-0000-0000-00000E000000}"/>
    <dataValidation allowBlank="1" showInputMessage="1" showErrorMessage="1" prompt="Enter the unit cost of the lighting. This should be in the same units as the Lighting Incentive Rate column, which generally is per fixture. Lamp only upgrades will be per lamp. " sqref="R19:R69" xr:uid="{00000000-0002-0000-0000-00000F000000}"/>
    <dataValidation allowBlank="1" showInputMessage="1" showErrorMessage="1" prompt="Total cost is automatically calculated as Proposed Qty x Lighting Cost Each." sqref="S19:S69" xr:uid="{00000000-0002-0000-0000-000010000000}"/>
    <dataValidation allowBlank="1" showInputMessage="1" showErrorMessage="1" prompt="Enter the proposed quantity of fixtures (or quantity of lamps if a lamp-only existing lighting type is chosen, such as screw-in LED)." sqref="Q19:Q69" xr:uid="{00000000-0002-0000-0000-000011000000}"/>
    <dataValidation type="list" allowBlank="1" showInputMessage="1" showErrorMessage="1" prompt="Select a general category for the proposed lighting." sqref="K20:K69" xr:uid="{00000000-0002-0000-0000-000012000000}">
      <formula1>$AV$123:$AV$168</formula1>
    </dataValidation>
    <dataValidation allowBlank="1" showInputMessage="1" showErrorMessage="1" prompt="Select a general category for the proposed lighting." sqref="K19" xr:uid="{00000000-0002-0000-0000-000013000000}"/>
    <dataValidation allowBlank="1" showInputMessage="1" showErrorMessage="1" prompt="Select a specific fixture or type of lamp for the proposed lighting." sqref="L19" xr:uid="{00000000-0002-0000-0000-000014000000}"/>
    <dataValidation allowBlank="1" showInputMessage="1" showErrorMessage="1" prompt="Select the appropriate measure code from the Focus on Energy Lighting Catalog for this measure. Refer to Catalog for full details to qualify._x000a__x000a_** Note all incentives are subject to review &amp; approval by Focus on Energy prior to payment of incentives. **" sqref="W19" xr:uid="{00000000-0002-0000-0000-000015000000}"/>
    <dataValidation allowBlank="1" showInputMessage="1" showErrorMessage="1" prompt="This is the incentive rate that corresponds to the Estimated Incentive Code from the Lighting Catalog. _x000a__x000a_** Note that all incentives are subject to review and approval by Focus on Energy prior to payment of incentives. **" sqref="X19:Y69" xr:uid="{00000000-0002-0000-0000-000016000000}"/>
    <dataValidation allowBlank="1" showInputMessage="1" showErrorMessage="1" prompt="Select the appropriate type of lighitng controls for the fixtures on this line, or choose &quot;None&quot; if no controls. _x000a__x000a_Refer to Focus on Energy Lighting Catalog for full details to quality. " sqref="M19" xr:uid="{00000000-0002-0000-0000-000017000000}"/>
    <dataValidation allowBlank="1" showInputMessage="1" showErrorMessage="1" prompt="Calculated kW of existing lighting, = Existing Fixture Watts x Existing Qty / 1000 watts per kW_x000a__x000a_** Note that kW as used here is NOT peak demand kW. Exterior dusk to dawn fixtures and select low-use interior fixtures will not have peak demand kW. **" sqref="AC19:AC69" xr:uid="{00000000-0002-0000-0000-000018000000}"/>
    <dataValidation allowBlank="1" showInputMessage="1" showErrorMessage="1" prompt="Calculated kW of proposed lighting, = Proposed Fixture Watts x Proposed Qty / 1000 watts per kW_x000a__x000a_** Note that kW as used here is NOT peak demand kW. Exterior dusk to dawn fixtures and select low-use interior fixtures will not have peak demand kW. **" sqref="AE19:AE69" xr:uid="{00000000-0002-0000-0000-000019000000}"/>
    <dataValidation allowBlank="1" showInputMessage="1" showErrorMessage="1" prompt="Calculated kWh of existing lighting, = Existing kW x Annual Hours_x000a__x000a_Baseline lighting is assumed to not have lighting controls. " sqref="AD19:AD69" xr:uid="{00000000-0002-0000-0000-00001A000000}"/>
    <dataValidation allowBlank="1" showInputMessage="1" showErrorMessage="1" prompt="Calculated kWh of proposed lighting, = Proposed kW x Annual Hours x (1 - savings fraction for controls)_x000a__x000a_** Note that controls savings is a general % savings, and actual savings will vary. Occupancy controls in high-traffic areas may have low savings. **" sqref="AF19:AF69" xr:uid="{00000000-0002-0000-0000-00001B000000}"/>
    <dataValidation allowBlank="1" showInputMessage="1" showErrorMessage="1" prompt="Calculated: = Existing kW - Proposed kW" sqref="AG19:AG69" xr:uid="{00000000-0002-0000-0000-00001C000000}"/>
    <dataValidation allowBlank="1" showInputMessage="1" showErrorMessage="1" prompt="Calculated: = Existing kWh - Proposed kWh" sqref="AH19:AH69" xr:uid="{00000000-0002-0000-0000-00001D000000}"/>
    <dataValidation allowBlank="1" showInputMessage="1" showErrorMessage="1" prompt="Calculated: = Annual kWh Savings x Electric Utility Rate ($/kWh)" sqref="AI19:AI69" xr:uid="{00000000-0002-0000-0000-00001E000000}"/>
    <dataValidation allowBlank="1" showInputMessage="1" showErrorMessage="1" prompt="Proposed Qty x Lighting Incentive Rate (subject to any caps based on fixture/lamp project cost) _x000a_+_x000a_Controls Incentive Rate x Qty (subject to any caps based on controls project cost)" sqref="AK19:AK69" xr:uid="{00000000-0002-0000-0000-00001F000000}"/>
    <dataValidation allowBlank="1" showInputMessage="1" showErrorMessage="1" prompt="Calculated, = Total Project Cost / Annual Energy Cost Savings" sqref="AJ19:AJ69" xr:uid="{00000000-0002-0000-0000-000020000000}"/>
    <dataValidation allowBlank="1" showInputMessage="1" showErrorMessage="1" prompt="Calculated, = (Total Project Cost - Estimated Incentive) / Annual Energy Cost Savings" sqref="AO20:AO69" xr:uid="{00000000-0002-0000-0000-000021000000}"/>
    <dataValidation allowBlank="1" showInputMessage="1" showErrorMessage="1" prompt="This is the incentive rate that corresponds to the Proposed Lighting Controls column. See the Lighting Catalog for full details to qualify._x000a__x000a_** Note all incentives are subject to review &amp; approval by Focus on Energy prior to payment of incentives. **" sqref="Z19:AA69" xr:uid="{00000000-0002-0000-0000-000022000000}"/>
    <dataValidation allowBlank="1" showInputMessage="1" showErrorMessage="1" prompt="Enter the unit cost of the lighting controls, i.e., cost per sensor, if the line has lighting controls. Otherwise can leave blank or set to 0. " sqref="U19:U69" xr:uid="{00000000-0002-0000-0000-000023000000}"/>
    <dataValidation allowBlank="1" showInputMessage="1" showErrorMessage="1" prompt="Total cost is automatically calculated as Qty of Sensors x Cost per Sensor." sqref="V19:V69" xr:uid="{00000000-0002-0000-0000-000024000000}"/>
    <dataValidation allowBlank="1" showInputMessage="1" showErrorMessage="1" prompt="Enter the quantity of sensors used if the lighting has controls associated with it. The quantity of sensors can be less than the number of fixtures, i.e., 10 fixtures can be controlled by 2 sensors. " sqref="T19:T69" xr:uid="{00000000-0002-0000-0000-000025000000}"/>
    <dataValidation type="list" allowBlank="1" showInputMessage="1" showErrorMessage="1" sqref="BC109 Z9" xr:uid="{00000000-0002-0000-0000-000026000000}">
      <formula1>$AV$99:$AV$102</formula1>
    </dataValidation>
    <dataValidation type="list" allowBlank="1" showInputMessage="1" showErrorMessage="1" sqref="BC94:BC108" xr:uid="{00000000-0002-0000-0000-000027000000}">
      <formula1>$AV$98:$AV$101</formula1>
    </dataValidation>
    <dataValidation allowBlank="1" showInputMessage="1" showErrorMessage="1" prompt="Calculated: = (Total Project Cost - Estimated Incentive) / Annual Energy Cost Savings" sqref="AO19" xr:uid="{00000000-0002-0000-0000-000028000000}"/>
  </dataValidations>
  <hyperlinks>
    <hyperlink ref="P2" r:id="rId1" display="2017 Lighting Incentive Catalog" xr:uid="{00000000-0004-0000-0000-000000000000}"/>
    <hyperlink ref="P2" r:id="rId2" xr:uid="{00000000-0004-0000-0000-000001000000}"/>
  </hyperlinks>
  <pageMargins left="0.25" right="0.25" top="0.5" bottom="0.5" header="0.3" footer="0.3"/>
  <pageSetup scale="52" fitToWidth="3" orientation="landscape" r:id="rId3"/>
  <drawing r:id="rId4"/>
  <legacyDrawing r:id="rId5"/>
  <extLst>
    <ext xmlns:x14="http://schemas.microsoft.com/office/spreadsheetml/2009/9/main" uri="{CCE6A557-97BC-4b89-ADB6-D9C93CAAB3DF}">
      <x14:dataValidations xmlns:xm="http://schemas.microsoft.com/office/excel/2006/main" xWindow="887" yWindow="338" count="1">
        <x14:dataValidation type="list" allowBlank="1" showInputMessage="1" showErrorMessage="1" prompt="Select the appropriate measure code from the Focus on Energy Lighting Catalog for this measure. Refer to Catalog for full details to qualify._x000a__x000a_** Note all incentives are subject to review &amp; approval by Focus on Energy prior to payment of incentives. **" xr:uid="{00000000-0002-0000-0000-000029000000}">
          <x14:formula1>
            <xm:f>IF($L$13=$AV$95,'Criteria-Business'!$C$3:$C$104,IF(AND(LEFT(K20,3)="LED",I20&lt;&gt;Q20,NOT(ISNUMBER(SEARCH("Lamp",L20)))),'Criteria-SBP'!$S$3:$S$4,'Criteria-SBP'!$C$3:$C$113))</xm:f>
          </x14:formula1>
          <xm:sqref>W20:W69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0"/>
  <sheetViews>
    <sheetView zoomScale="90" zoomScaleNormal="90" workbookViewId="0">
      <selection activeCell="B10" sqref="B10"/>
    </sheetView>
  </sheetViews>
  <sheetFormatPr defaultColWidth="9.140625" defaultRowHeight="15" x14ac:dyDescent="0.25"/>
  <cols>
    <col min="1" max="1" width="3.5703125" style="236" bestFit="1" customWidth="1"/>
    <col min="2" max="2" width="11.42578125" style="236" bestFit="1" customWidth="1"/>
    <col min="3" max="3" width="18.5703125" style="236" bestFit="1" customWidth="1"/>
    <col min="4" max="4" width="8.7109375" style="236" customWidth="1"/>
    <col min="5" max="6" width="7.7109375" style="236" customWidth="1"/>
    <col min="7" max="7" width="30.7109375" style="234" customWidth="1"/>
    <col min="8" max="8" width="22.7109375" style="234" bestFit="1" customWidth="1"/>
    <col min="9" max="10" width="8.7109375" style="236" customWidth="1"/>
    <col min="11" max="12" width="9.7109375" style="236" customWidth="1"/>
    <col min="13" max="13" width="39.85546875" style="234" customWidth="1"/>
    <col min="14" max="15" width="14.7109375" style="236" customWidth="1"/>
    <col min="16" max="16" width="8.140625" style="236" customWidth="1"/>
    <col min="17" max="17" width="9.140625" style="236"/>
    <col min="18" max="18" width="10" style="236" customWidth="1"/>
    <col min="19" max="19" width="9.140625" style="236"/>
    <col min="20" max="20" width="10.5703125" style="236" customWidth="1"/>
    <col min="21" max="16384" width="9.140625" style="236"/>
  </cols>
  <sheetData>
    <row r="1" spans="1:20" s="232" customFormat="1" ht="24" x14ac:dyDescent="0.4">
      <c r="A1" s="313" t="s">
        <v>0</v>
      </c>
      <c r="B1" s="313"/>
      <c r="C1" s="313"/>
      <c r="D1" s="313"/>
      <c r="E1" s="313"/>
      <c r="F1" s="313"/>
      <c r="H1" s="233"/>
    </row>
    <row r="2" spans="1:20" s="232" customFormat="1" ht="15" customHeight="1" x14ac:dyDescent="0.25">
      <c r="A2" s="375" t="s">
        <v>683</v>
      </c>
      <c r="B2" s="376"/>
      <c r="C2" s="376"/>
      <c r="D2" s="376"/>
      <c r="E2" s="376"/>
      <c r="F2" s="376"/>
      <c r="G2" s="376"/>
      <c r="H2" s="376"/>
      <c r="I2" s="376"/>
      <c r="L2" s="290" t="s">
        <v>684</v>
      </c>
      <c r="M2" s="233"/>
    </row>
    <row r="3" spans="1:20" s="232" customFormat="1" ht="15" customHeight="1" x14ac:dyDescent="0.25">
      <c r="A3" s="376"/>
      <c r="B3" s="376"/>
      <c r="C3" s="376"/>
      <c r="D3" s="376"/>
      <c r="E3" s="376"/>
      <c r="F3" s="376"/>
      <c r="G3" s="376"/>
      <c r="H3" s="376"/>
      <c r="I3" s="376"/>
      <c r="L3" s="231" t="str">
        <f>'Lighting Savings'!K5</f>
        <v>Company Name:</v>
      </c>
      <c r="M3" s="373" t="str">
        <f>IF('Lighting Savings'!L5="","",'Lighting Savings'!L5)</f>
        <v/>
      </c>
      <c r="N3" s="373"/>
    </row>
    <row r="4" spans="1:20" s="232" customFormat="1" ht="15" customHeight="1" x14ac:dyDescent="0.25">
      <c r="A4" s="376"/>
      <c r="B4" s="376"/>
      <c r="C4" s="376"/>
      <c r="D4" s="376"/>
      <c r="E4" s="376"/>
      <c r="F4" s="376"/>
      <c r="G4" s="376"/>
      <c r="H4" s="376"/>
      <c r="I4" s="376"/>
      <c r="L4" s="231" t="str">
        <f>'Lighting Savings'!K6</f>
        <v>Job Site Location:</v>
      </c>
      <c r="M4" s="373" t="str">
        <f>IF('Lighting Savings'!L6="","",'Lighting Savings'!L6)</f>
        <v/>
      </c>
      <c r="N4" s="373"/>
    </row>
    <row r="5" spans="1:20" s="232" customFormat="1" ht="15" customHeight="1" x14ac:dyDescent="0.25">
      <c r="A5" s="376"/>
      <c r="B5" s="376"/>
      <c r="C5" s="376"/>
      <c r="D5" s="376"/>
      <c r="E5" s="376"/>
      <c r="F5" s="376"/>
      <c r="G5" s="376"/>
      <c r="H5" s="376"/>
      <c r="I5" s="376"/>
      <c r="L5" s="231" t="str">
        <f>'Lighting Savings'!K7</f>
        <v>Customer Contact at Job Site:</v>
      </c>
      <c r="M5" s="373" t="str">
        <f>IF('Lighting Savings'!L7="","",'Lighting Savings'!L7)</f>
        <v/>
      </c>
      <c r="N5" s="373"/>
      <c r="R5" s="231" t="str">
        <f>'Lighting Savings'!K12</f>
        <v>Date Savings Estimate Prepared:</v>
      </c>
      <c r="S5" s="372" t="str">
        <f>IF('Lighting Savings'!L12="","",'Lighting Savings'!L12)</f>
        <v/>
      </c>
      <c r="T5" s="372"/>
    </row>
    <row r="6" spans="1:20" s="232" customFormat="1" x14ac:dyDescent="0.25">
      <c r="A6" s="376"/>
      <c r="B6" s="376"/>
      <c r="C6" s="376"/>
      <c r="D6" s="376"/>
      <c r="E6" s="376"/>
      <c r="F6" s="376"/>
      <c r="G6" s="376"/>
      <c r="H6" s="376"/>
      <c r="I6" s="376"/>
      <c r="L6" s="231" t="str">
        <f>'Lighting Savings'!K9</f>
        <v>Trade Ally Company Name:</v>
      </c>
      <c r="M6" s="373" t="str">
        <f>IF('Lighting Savings'!L9="","",'Lighting Savings'!L9)</f>
        <v/>
      </c>
      <c r="N6" s="373"/>
      <c r="R6" s="231" t="str">
        <f>'Lighting Savings'!K13</f>
        <v>Focus on Energy Program:</v>
      </c>
      <c r="S6" s="373" t="str">
        <f>'Lighting Savings'!L13</f>
        <v>Small Business</v>
      </c>
      <c r="T6" s="373"/>
    </row>
    <row r="7" spans="1:20" s="232" customFormat="1" x14ac:dyDescent="0.25">
      <c r="A7" s="376"/>
      <c r="B7" s="376"/>
      <c r="C7" s="376"/>
      <c r="D7" s="376"/>
      <c r="E7" s="376"/>
      <c r="F7" s="376"/>
      <c r="G7" s="376"/>
      <c r="H7" s="376"/>
      <c r="I7" s="376"/>
      <c r="L7" s="231" t="str">
        <f>'Lighting Savings'!K10</f>
        <v>Trade Ally Contact Name:</v>
      </c>
      <c r="M7" s="373" t="str">
        <f>IF('Lighting Savings'!L10="","",'Lighting Savings'!L10)</f>
        <v/>
      </c>
      <c r="N7" s="373"/>
      <c r="R7" s="231" t="str">
        <f>'Lighting Savings'!K14</f>
        <v>Electric Utility Rate ($/kWh):</v>
      </c>
      <c r="S7" s="374">
        <f>'Lighting Savings'!L14</f>
        <v>0.11</v>
      </c>
      <c r="T7" s="374"/>
    </row>
    <row r="8" spans="1:20" s="232" customFormat="1" ht="18.75" x14ac:dyDescent="0.3">
      <c r="A8" s="377" t="s">
        <v>5</v>
      </c>
      <c r="B8" s="377"/>
      <c r="C8" s="377"/>
      <c r="D8" s="377"/>
      <c r="E8" s="377"/>
      <c r="F8" s="377"/>
      <c r="H8" s="233"/>
      <c r="J8" s="229"/>
      <c r="K8" s="230"/>
      <c r="M8" s="233"/>
    </row>
    <row r="9" spans="1:20" s="234" customFormat="1" ht="45" x14ac:dyDescent="0.25">
      <c r="A9" s="222" t="str">
        <f>'Lighting Savings'!B19</f>
        <v>Line #</v>
      </c>
      <c r="B9" s="223" t="str">
        <f>'Lighting Savings'!C19</f>
        <v>Location</v>
      </c>
      <c r="C9" s="223" t="str">
        <f>'Lighting Savings'!E19</f>
        <v>Existing Lighting Type</v>
      </c>
      <c r="D9" s="223" t="s">
        <v>685</v>
      </c>
      <c r="E9" s="223" t="str">
        <f>'Lighting Savings'!I19</f>
        <v>Existing QTY</v>
      </c>
      <c r="F9" s="223" t="str">
        <f>'Lighting Savings'!J19</f>
        <v>Annual Hours</v>
      </c>
      <c r="G9" s="223" t="str">
        <f>'Lighting Savings'!L19</f>
        <v>Proposed Lighting Type</v>
      </c>
      <c r="H9" s="223" t="str">
        <f>'Lighting Savings'!M19</f>
        <v>Proposed Lighting Controls</v>
      </c>
      <c r="I9" s="223" t="s">
        <v>686</v>
      </c>
      <c r="J9" s="223" t="str">
        <f>'Lighting Savings'!Q19</f>
        <v>Proposed QTY</v>
      </c>
      <c r="K9" s="223" t="str">
        <f>'Lighting Savings'!S19</f>
        <v>Total Lighting Cost</v>
      </c>
      <c r="L9" s="223" t="str">
        <f>'Lighting Savings'!V19</f>
        <v>Total Controls Cost</v>
      </c>
      <c r="M9" s="223" t="str">
        <f>'Lighting Savings'!W19</f>
        <v>Estimated Incentive Code from the 
Focus on Energy Lighting Catalog</v>
      </c>
      <c r="N9" s="223" t="str">
        <f>'Lighting Savings'!X19</f>
        <v>Lighting Incentive Rate</v>
      </c>
      <c r="O9" s="223" t="str">
        <f>'Lighting Savings'!Z19</f>
        <v>Controls Incentive Rate</v>
      </c>
      <c r="P9" s="223" t="str">
        <f>'Lighting Savings'!AG19</f>
        <v>kW Savings</v>
      </c>
      <c r="Q9" s="223" t="str">
        <f>'Lighting Savings'!AH19</f>
        <v>Annual kWh Savings</v>
      </c>
      <c r="R9" s="223" t="str">
        <f>'Lighting Savings'!AI19</f>
        <v>Annual Energy Cost Savings</v>
      </c>
      <c r="S9" s="223" t="str">
        <f>'Lighting Savings'!AK19</f>
        <v>Estimated Incentive</v>
      </c>
      <c r="T9" s="223" t="s">
        <v>687</v>
      </c>
    </row>
    <row r="10" spans="1:20" s="235" customFormat="1" x14ac:dyDescent="0.25">
      <c r="A10" s="224">
        <f>'Lighting Savings'!B20</f>
        <v>1</v>
      </c>
      <c r="B10" s="225" t="str">
        <f>IF('Lighting Savings'!C20="","",'Lighting Savings'!C20)</f>
        <v/>
      </c>
      <c r="C10" s="225" t="str">
        <f>IF('Lighting Savings'!E20="","",'Lighting Savings'!E20)</f>
        <v/>
      </c>
      <c r="D10" s="226" t="str">
        <f>IF('Lighting Savings'!E20="","",IF(OR('Lighting Savings'!G20&gt;0,'Lighting Savings'!F20="Enter Watts"),'Lighting Savings'!G20,'Lighting Savings'!F20))</f>
        <v/>
      </c>
      <c r="E10" s="226" t="str">
        <f>IF('Lighting Savings'!I20="","",'Lighting Savings'!I20)</f>
        <v/>
      </c>
      <c r="F10" s="226" t="str">
        <f>IF('Lighting Savings'!J20="","",'Lighting Savings'!J20)</f>
        <v/>
      </c>
      <c r="G10" s="225" t="str">
        <f>IF('Lighting Savings'!L20="","",'Lighting Savings'!L20)</f>
        <v/>
      </c>
      <c r="H10" s="225" t="str">
        <f>IF(G10="","",'Lighting Savings'!M20)</f>
        <v/>
      </c>
      <c r="I10" s="226" t="str">
        <f>IF('Lighting Savings'!L20="","",IF(OR('Lighting Savings'!O20&gt;0,'Lighting Savings'!N20="Enter Watts"),'Lighting Savings'!O20,'Lighting Savings'!N20))</f>
        <v/>
      </c>
      <c r="J10" s="226" t="str">
        <f>IF('Lighting Savings'!Q20="","",'Lighting Savings'!Q20)</f>
        <v/>
      </c>
      <c r="K10" s="227" t="str">
        <f>IF('Lighting Savings'!S20="","",'Lighting Savings'!S20)</f>
        <v/>
      </c>
      <c r="L10" s="227" t="str">
        <f>IF('Lighting Savings'!V20="","",'Lighting Savings'!V20)</f>
        <v/>
      </c>
      <c r="M10" s="225" t="str">
        <f>IF('Lighting Savings'!W20="","",'Lighting Savings'!W20)</f>
        <v/>
      </c>
      <c r="N10" s="227" t="str">
        <f>IF('Lighting Savings'!X20&lt;&gt;"", DOLLAR('Lighting Savings'!X20)&amp;" "&amp;'Lighting Savings'!Y20,"")</f>
        <v/>
      </c>
      <c r="O10" s="225" t="str">
        <f>IF('Lighting Savings'!AA20="None","None", DOLLAR('Lighting Savings'!Z20)&amp;" "&amp;'Lighting Savings'!AA20)</f>
        <v>None</v>
      </c>
      <c r="P10" s="228" t="str">
        <f>'Lighting Savings'!AG20</f>
        <v/>
      </c>
      <c r="Q10" s="226" t="str">
        <f>'Lighting Savings'!AH20</f>
        <v/>
      </c>
      <c r="R10" s="227" t="str">
        <f>'Lighting Savings'!AI20</f>
        <v/>
      </c>
      <c r="S10" s="227">
        <f>IF('Lighting Savings'!AK20="","",'Lighting Savings'!AK20)</f>
        <v>0</v>
      </c>
      <c r="T10" s="269" t="str">
        <f>'Lighting Savings'!AO20</f>
        <v/>
      </c>
    </row>
    <row r="11" spans="1:20" s="235" customFormat="1" x14ac:dyDescent="0.25">
      <c r="A11" s="224">
        <f>'Lighting Savings'!B21</f>
        <v>2</v>
      </c>
      <c r="B11" s="225" t="str">
        <f>IF('Lighting Savings'!C21="","",'Lighting Savings'!C21)</f>
        <v/>
      </c>
      <c r="C11" s="225" t="str">
        <f>IF('Lighting Savings'!E21="","",'Lighting Savings'!E21)</f>
        <v/>
      </c>
      <c r="D11" s="226" t="str">
        <f>IF('Lighting Savings'!E21="","",IF(OR('Lighting Savings'!G21&gt;0,'Lighting Savings'!F21="Enter Watts"),'Lighting Savings'!G21,'Lighting Savings'!F21))</f>
        <v/>
      </c>
      <c r="E11" s="226" t="str">
        <f>IF('Lighting Savings'!I21="","",'Lighting Savings'!I21)</f>
        <v/>
      </c>
      <c r="F11" s="226" t="str">
        <f>IF('Lighting Savings'!J21="","",'Lighting Savings'!J21)</f>
        <v/>
      </c>
      <c r="G11" s="225" t="str">
        <f>IF('Lighting Savings'!L21="","",'Lighting Savings'!L21)</f>
        <v/>
      </c>
      <c r="H11" s="225" t="str">
        <f>IF(G11="","",'Lighting Savings'!M21)</f>
        <v/>
      </c>
      <c r="I11" s="226" t="str">
        <f>IF('Lighting Savings'!L21="","",IF(OR('Lighting Savings'!O21&gt;0,'Lighting Savings'!N21="Enter Watts"),'Lighting Savings'!O21,'Lighting Savings'!N21))</f>
        <v/>
      </c>
      <c r="J11" s="226" t="str">
        <f>IF('Lighting Savings'!Q21="","",'Lighting Savings'!Q21)</f>
        <v/>
      </c>
      <c r="K11" s="227" t="str">
        <f>IF('Lighting Savings'!S21="","",'Lighting Savings'!S21)</f>
        <v/>
      </c>
      <c r="L11" s="227" t="str">
        <f>IF('Lighting Savings'!V21="","",'Lighting Savings'!V21)</f>
        <v/>
      </c>
      <c r="M11" s="225" t="str">
        <f>IF('Lighting Savings'!W21="","",'Lighting Savings'!W21)</f>
        <v/>
      </c>
      <c r="N11" s="227" t="str">
        <f>IF('Lighting Savings'!X21&lt;&gt;"", DOLLAR('Lighting Savings'!X21)&amp;" "&amp;'Lighting Savings'!Y21,"")</f>
        <v/>
      </c>
      <c r="O11" s="225" t="str">
        <f>IF('Lighting Savings'!AA21="None","None", DOLLAR('Lighting Savings'!Z21)&amp;" "&amp;'Lighting Savings'!AA21)</f>
        <v>None</v>
      </c>
      <c r="P11" s="228" t="str">
        <f>'Lighting Savings'!AG21</f>
        <v/>
      </c>
      <c r="Q11" s="226" t="str">
        <f>'Lighting Savings'!AH21</f>
        <v/>
      </c>
      <c r="R11" s="227" t="str">
        <f>'Lighting Savings'!AI21</f>
        <v/>
      </c>
      <c r="S11" s="227">
        <f>IF('Lighting Savings'!AK21="","",'Lighting Savings'!AK21)</f>
        <v>0</v>
      </c>
      <c r="T11" s="269" t="str">
        <f>'Lighting Savings'!AO21</f>
        <v/>
      </c>
    </row>
    <row r="12" spans="1:20" s="235" customFormat="1" x14ac:dyDescent="0.25">
      <c r="A12" s="224">
        <f>'Lighting Savings'!B22</f>
        <v>3</v>
      </c>
      <c r="B12" s="225" t="str">
        <f>IF('Lighting Savings'!C22="","",'Lighting Savings'!C22)</f>
        <v/>
      </c>
      <c r="C12" s="225" t="str">
        <f>IF('Lighting Savings'!E22="","",'Lighting Savings'!E22)</f>
        <v/>
      </c>
      <c r="D12" s="226" t="str">
        <f>IF('Lighting Savings'!E22="","",IF(OR('Lighting Savings'!G22&gt;0,'Lighting Savings'!F22="Enter Watts"),'Lighting Savings'!G22,'Lighting Savings'!F22))</f>
        <v/>
      </c>
      <c r="E12" s="226" t="str">
        <f>IF('Lighting Savings'!I22="","",'Lighting Savings'!I22)</f>
        <v/>
      </c>
      <c r="F12" s="226" t="str">
        <f>IF('Lighting Savings'!J22="","",'Lighting Savings'!J22)</f>
        <v/>
      </c>
      <c r="G12" s="225" t="str">
        <f>IF('Lighting Savings'!L22="","",'Lighting Savings'!L22)</f>
        <v/>
      </c>
      <c r="H12" s="225" t="str">
        <f>IF(G12="","",'Lighting Savings'!M22)</f>
        <v/>
      </c>
      <c r="I12" s="226" t="str">
        <f>IF('Lighting Savings'!L22="","",IF(OR('Lighting Savings'!O22&gt;0,'Lighting Savings'!N22="Enter Watts"),'Lighting Savings'!O22,'Lighting Savings'!N22))</f>
        <v/>
      </c>
      <c r="J12" s="226" t="str">
        <f>IF('Lighting Savings'!Q22="","",'Lighting Savings'!Q22)</f>
        <v/>
      </c>
      <c r="K12" s="227" t="str">
        <f>IF('Lighting Savings'!S22="","",'Lighting Savings'!S22)</f>
        <v/>
      </c>
      <c r="L12" s="227" t="str">
        <f>IF('Lighting Savings'!V22="","",'Lighting Savings'!V22)</f>
        <v/>
      </c>
      <c r="M12" s="225" t="str">
        <f>IF('Lighting Savings'!W22="","",'Lighting Savings'!W22)</f>
        <v/>
      </c>
      <c r="N12" s="227" t="str">
        <f>IF('Lighting Savings'!X22&lt;&gt;"", DOLLAR('Lighting Savings'!X22)&amp;" "&amp;'Lighting Savings'!Y22,"")</f>
        <v/>
      </c>
      <c r="O12" s="225" t="str">
        <f>IF('Lighting Savings'!AA22="None","None", DOLLAR('Lighting Savings'!Z22)&amp;" "&amp;'Lighting Savings'!AA22)</f>
        <v>None</v>
      </c>
      <c r="P12" s="228" t="str">
        <f>'Lighting Savings'!AG22</f>
        <v/>
      </c>
      <c r="Q12" s="226" t="str">
        <f>'Lighting Savings'!AH22</f>
        <v/>
      </c>
      <c r="R12" s="227" t="str">
        <f>'Lighting Savings'!AI22</f>
        <v/>
      </c>
      <c r="S12" s="227">
        <f>IF('Lighting Savings'!AK22="","",'Lighting Savings'!AK22)</f>
        <v>0</v>
      </c>
      <c r="T12" s="269" t="str">
        <f>'Lighting Savings'!AO22</f>
        <v/>
      </c>
    </row>
    <row r="13" spans="1:20" s="235" customFormat="1" x14ac:dyDescent="0.25">
      <c r="A13" s="224">
        <f>'Lighting Savings'!B23</f>
        <v>4</v>
      </c>
      <c r="B13" s="225" t="str">
        <f>IF('Lighting Savings'!C23="","",'Lighting Savings'!C23)</f>
        <v/>
      </c>
      <c r="C13" s="225" t="str">
        <f>IF('Lighting Savings'!E23="","",'Lighting Savings'!E23)</f>
        <v/>
      </c>
      <c r="D13" s="226" t="str">
        <f>IF('Lighting Savings'!E23="","",IF(OR('Lighting Savings'!G23&gt;0,'Lighting Savings'!F23="Enter Watts"),'Lighting Savings'!G23,'Lighting Savings'!F23))</f>
        <v/>
      </c>
      <c r="E13" s="226" t="str">
        <f>IF('Lighting Savings'!I23="","",'Lighting Savings'!I23)</f>
        <v/>
      </c>
      <c r="F13" s="226" t="str">
        <f>IF('Lighting Savings'!J23="","",'Lighting Savings'!J23)</f>
        <v/>
      </c>
      <c r="G13" s="225" t="str">
        <f>IF('Lighting Savings'!L23="","",'Lighting Savings'!L23)</f>
        <v/>
      </c>
      <c r="H13" s="225" t="str">
        <f>IF(G13="","",'Lighting Savings'!M23)</f>
        <v/>
      </c>
      <c r="I13" s="226" t="str">
        <f>IF('Lighting Savings'!L23="","",IF(OR('Lighting Savings'!O23&gt;0,'Lighting Savings'!N23="Enter Watts"),'Lighting Savings'!O23,'Lighting Savings'!N23))</f>
        <v/>
      </c>
      <c r="J13" s="226" t="str">
        <f>IF('Lighting Savings'!Q23="","",'Lighting Savings'!Q23)</f>
        <v/>
      </c>
      <c r="K13" s="227" t="str">
        <f>IF('Lighting Savings'!S23="","",'Lighting Savings'!S23)</f>
        <v/>
      </c>
      <c r="L13" s="227" t="str">
        <f>IF('Lighting Savings'!V23="","",'Lighting Savings'!V23)</f>
        <v/>
      </c>
      <c r="M13" s="225" t="str">
        <f>IF('Lighting Savings'!W23="","",'Lighting Savings'!W23)</f>
        <v/>
      </c>
      <c r="N13" s="227" t="str">
        <f>IF('Lighting Savings'!X23&lt;&gt;"", DOLLAR('Lighting Savings'!X23)&amp;" "&amp;'Lighting Savings'!Y23,"")</f>
        <v/>
      </c>
      <c r="O13" s="225" t="str">
        <f>IF('Lighting Savings'!AA23="None","None", DOLLAR('Lighting Savings'!Z23)&amp;" "&amp;'Lighting Savings'!AA23)</f>
        <v>None</v>
      </c>
      <c r="P13" s="228" t="str">
        <f>'Lighting Savings'!AG23</f>
        <v/>
      </c>
      <c r="Q13" s="226" t="str">
        <f>'Lighting Savings'!AH23</f>
        <v/>
      </c>
      <c r="R13" s="227" t="str">
        <f>'Lighting Savings'!AI23</f>
        <v/>
      </c>
      <c r="S13" s="227">
        <f>IF('Lighting Savings'!AK23="","",'Lighting Savings'!AK23)</f>
        <v>0</v>
      </c>
      <c r="T13" s="269" t="str">
        <f>'Lighting Savings'!AO23</f>
        <v/>
      </c>
    </row>
    <row r="14" spans="1:20" s="235" customFormat="1" x14ac:dyDescent="0.25">
      <c r="A14" s="224">
        <f>'Lighting Savings'!B24</f>
        <v>5</v>
      </c>
      <c r="B14" s="225" t="str">
        <f>IF('Lighting Savings'!C24="","",'Lighting Savings'!C24)</f>
        <v/>
      </c>
      <c r="C14" s="225" t="str">
        <f>IF('Lighting Savings'!E24="","",'Lighting Savings'!E24)</f>
        <v/>
      </c>
      <c r="D14" s="226" t="str">
        <f>IF('Lighting Savings'!E24="","",IF(OR('Lighting Savings'!G24&gt;0,'Lighting Savings'!F24="Enter Watts"),'Lighting Savings'!G24,'Lighting Savings'!F24))</f>
        <v/>
      </c>
      <c r="E14" s="226" t="str">
        <f>IF('Lighting Savings'!I24="","",'Lighting Savings'!I24)</f>
        <v/>
      </c>
      <c r="F14" s="226" t="str">
        <f>IF('Lighting Savings'!J24="","",'Lighting Savings'!J24)</f>
        <v/>
      </c>
      <c r="G14" s="225" t="str">
        <f>IF('Lighting Savings'!L24="","",'Lighting Savings'!L24)</f>
        <v/>
      </c>
      <c r="H14" s="225" t="str">
        <f>IF(G14="","",'Lighting Savings'!M24)</f>
        <v/>
      </c>
      <c r="I14" s="226" t="str">
        <f>IF('Lighting Savings'!L24="","",IF(OR('Lighting Savings'!O24&gt;0,'Lighting Savings'!N24="Enter Watts"),'Lighting Savings'!O24,'Lighting Savings'!N24))</f>
        <v/>
      </c>
      <c r="J14" s="226" t="str">
        <f>IF('Lighting Savings'!Q24="","",'Lighting Savings'!Q24)</f>
        <v/>
      </c>
      <c r="K14" s="227" t="str">
        <f>IF('Lighting Savings'!S24="","",'Lighting Savings'!S24)</f>
        <v/>
      </c>
      <c r="L14" s="227" t="str">
        <f>IF('Lighting Savings'!V24="","",'Lighting Savings'!V24)</f>
        <v/>
      </c>
      <c r="M14" s="225" t="str">
        <f>IF('Lighting Savings'!W24="","",'Lighting Savings'!W24)</f>
        <v/>
      </c>
      <c r="N14" s="227" t="str">
        <f>IF('Lighting Savings'!X24&lt;&gt;"", DOLLAR('Lighting Savings'!X24)&amp;" "&amp;'Lighting Savings'!Y24,"")</f>
        <v/>
      </c>
      <c r="O14" s="225" t="str">
        <f>IF('Lighting Savings'!AA24="None","None", DOLLAR('Lighting Savings'!Z24)&amp;" "&amp;'Lighting Savings'!AA24)</f>
        <v>None</v>
      </c>
      <c r="P14" s="228" t="str">
        <f>'Lighting Savings'!AG24</f>
        <v/>
      </c>
      <c r="Q14" s="226" t="str">
        <f>'Lighting Savings'!AH24</f>
        <v/>
      </c>
      <c r="R14" s="227" t="str">
        <f>'Lighting Savings'!AI24</f>
        <v/>
      </c>
      <c r="S14" s="227">
        <f>IF('Lighting Savings'!AK24="","",'Lighting Savings'!AK24)</f>
        <v>0</v>
      </c>
      <c r="T14" s="269" t="str">
        <f>'Lighting Savings'!AO24</f>
        <v/>
      </c>
    </row>
    <row r="15" spans="1:20" s="235" customFormat="1" x14ac:dyDescent="0.25">
      <c r="A15" s="224">
        <f>'Lighting Savings'!B25</f>
        <v>6</v>
      </c>
      <c r="B15" s="225" t="str">
        <f>IF('Lighting Savings'!C25="","",'Lighting Savings'!C25)</f>
        <v/>
      </c>
      <c r="C15" s="225" t="str">
        <f>IF('Lighting Savings'!E25="","",'Lighting Savings'!E25)</f>
        <v/>
      </c>
      <c r="D15" s="226" t="str">
        <f>IF('Lighting Savings'!E25="","",IF(OR('Lighting Savings'!G25&gt;0,'Lighting Savings'!F25="Enter Watts"),'Lighting Savings'!G25,'Lighting Savings'!F25))</f>
        <v/>
      </c>
      <c r="E15" s="226" t="str">
        <f>IF('Lighting Savings'!I25="","",'Lighting Savings'!I25)</f>
        <v/>
      </c>
      <c r="F15" s="226" t="str">
        <f>IF('Lighting Savings'!J25="","",'Lighting Savings'!J25)</f>
        <v/>
      </c>
      <c r="G15" s="225" t="str">
        <f>IF('Lighting Savings'!L25="","",'Lighting Savings'!L25)</f>
        <v/>
      </c>
      <c r="H15" s="225" t="str">
        <f>IF(G15="","",'Lighting Savings'!M25)</f>
        <v/>
      </c>
      <c r="I15" s="226" t="str">
        <f>IF('Lighting Savings'!L25="","",IF(OR('Lighting Savings'!O25&gt;0,'Lighting Savings'!N25="Enter Watts"),'Lighting Savings'!O25,'Lighting Savings'!N25))</f>
        <v/>
      </c>
      <c r="J15" s="226" t="str">
        <f>IF('Lighting Savings'!Q25="","",'Lighting Savings'!Q25)</f>
        <v/>
      </c>
      <c r="K15" s="227" t="str">
        <f>IF('Lighting Savings'!S25="","",'Lighting Savings'!S25)</f>
        <v/>
      </c>
      <c r="L15" s="227" t="str">
        <f>IF('Lighting Savings'!V25="","",'Lighting Savings'!V25)</f>
        <v/>
      </c>
      <c r="M15" s="225" t="str">
        <f>IF('Lighting Savings'!W25="","",'Lighting Savings'!W25)</f>
        <v/>
      </c>
      <c r="N15" s="227" t="str">
        <f>IF('Lighting Savings'!X25&lt;&gt;"", DOLLAR('Lighting Savings'!X25)&amp;" "&amp;'Lighting Savings'!Y25,"")</f>
        <v/>
      </c>
      <c r="O15" s="225" t="str">
        <f>IF('Lighting Savings'!AA25="None","None", DOLLAR('Lighting Savings'!Z25)&amp;" "&amp;'Lighting Savings'!AA25)</f>
        <v>None</v>
      </c>
      <c r="P15" s="228" t="str">
        <f>'Lighting Savings'!AG25</f>
        <v/>
      </c>
      <c r="Q15" s="226" t="str">
        <f>'Lighting Savings'!AH25</f>
        <v/>
      </c>
      <c r="R15" s="227" t="str">
        <f>'Lighting Savings'!AI25</f>
        <v/>
      </c>
      <c r="S15" s="227">
        <f>IF('Lighting Savings'!AK25="","",'Lighting Savings'!AK25)</f>
        <v>0</v>
      </c>
      <c r="T15" s="269" t="str">
        <f>'Lighting Savings'!AO25</f>
        <v/>
      </c>
    </row>
    <row r="16" spans="1:20" s="235" customFormat="1" x14ac:dyDescent="0.25">
      <c r="A16" s="224">
        <f>'Lighting Savings'!B26</f>
        <v>7</v>
      </c>
      <c r="B16" s="225" t="str">
        <f>IF('Lighting Savings'!C26="","",'Lighting Savings'!C26)</f>
        <v/>
      </c>
      <c r="C16" s="225" t="str">
        <f>IF('Lighting Savings'!E26="","",'Lighting Savings'!E26)</f>
        <v/>
      </c>
      <c r="D16" s="226" t="str">
        <f>IF('Lighting Savings'!E26="","",IF(OR('Lighting Savings'!G26&gt;0,'Lighting Savings'!F26="Enter Watts"),'Lighting Savings'!G26,'Lighting Savings'!F26))</f>
        <v/>
      </c>
      <c r="E16" s="226" t="str">
        <f>IF('Lighting Savings'!I26="","",'Lighting Savings'!I26)</f>
        <v/>
      </c>
      <c r="F16" s="226" t="str">
        <f>IF('Lighting Savings'!J26="","",'Lighting Savings'!J26)</f>
        <v/>
      </c>
      <c r="G16" s="225" t="str">
        <f>IF('Lighting Savings'!L26="","",'Lighting Savings'!L26)</f>
        <v/>
      </c>
      <c r="H16" s="225" t="str">
        <f>IF(G16="","",'Lighting Savings'!M26)</f>
        <v/>
      </c>
      <c r="I16" s="226" t="str">
        <f>IF('Lighting Savings'!L26="","",IF(OR('Lighting Savings'!O26&gt;0,'Lighting Savings'!N26="Enter Watts"),'Lighting Savings'!O26,'Lighting Savings'!N26))</f>
        <v/>
      </c>
      <c r="J16" s="226" t="str">
        <f>IF('Lighting Savings'!Q26="","",'Lighting Savings'!Q26)</f>
        <v/>
      </c>
      <c r="K16" s="227" t="str">
        <f>IF('Lighting Savings'!S26="","",'Lighting Savings'!S26)</f>
        <v/>
      </c>
      <c r="L16" s="227" t="str">
        <f>IF('Lighting Savings'!V26="","",'Lighting Savings'!V26)</f>
        <v/>
      </c>
      <c r="M16" s="225" t="str">
        <f>IF('Lighting Savings'!W26="","",'Lighting Savings'!W26)</f>
        <v/>
      </c>
      <c r="N16" s="227" t="str">
        <f>IF('Lighting Savings'!X26&lt;&gt;"", DOLLAR('Lighting Savings'!X26)&amp;" "&amp;'Lighting Savings'!Y26,"")</f>
        <v/>
      </c>
      <c r="O16" s="225" t="str">
        <f>IF('Lighting Savings'!AA26="None","None", DOLLAR('Lighting Savings'!Z26)&amp;" "&amp;'Lighting Savings'!AA26)</f>
        <v>None</v>
      </c>
      <c r="P16" s="228" t="str">
        <f>'Lighting Savings'!AG26</f>
        <v/>
      </c>
      <c r="Q16" s="226" t="str">
        <f>'Lighting Savings'!AH26</f>
        <v/>
      </c>
      <c r="R16" s="227" t="str">
        <f>'Lighting Savings'!AI26</f>
        <v/>
      </c>
      <c r="S16" s="227">
        <f>IF('Lighting Savings'!AK26="","",'Lighting Savings'!AK26)</f>
        <v>0</v>
      </c>
      <c r="T16" s="269" t="str">
        <f>'Lighting Savings'!AO26</f>
        <v/>
      </c>
    </row>
    <row r="17" spans="1:20" s="235" customFormat="1" x14ac:dyDescent="0.25">
      <c r="A17" s="224">
        <f>'Lighting Savings'!B27</f>
        <v>8</v>
      </c>
      <c r="B17" s="225" t="str">
        <f>IF('Lighting Savings'!C27="","",'Lighting Savings'!C27)</f>
        <v/>
      </c>
      <c r="C17" s="225" t="str">
        <f>IF('Lighting Savings'!E27="","",'Lighting Savings'!E27)</f>
        <v/>
      </c>
      <c r="D17" s="226" t="str">
        <f>IF('Lighting Savings'!E27="","",IF(OR('Lighting Savings'!G27&gt;0,'Lighting Savings'!F27="Enter Watts"),'Lighting Savings'!G27,'Lighting Savings'!F27))</f>
        <v/>
      </c>
      <c r="E17" s="226" t="str">
        <f>IF('Lighting Savings'!I27="","",'Lighting Savings'!I27)</f>
        <v/>
      </c>
      <c r="F17" s="226" t="str">
        <f>IF('Lighting Savings'!J27="","",'Lighting Savings'!J27)</f>
        <v/>
      </c>
      <c r="G17" s="225" t="str">
        <f>IF('Lighting Savings'!L27="","",'Lighting Savings'!L27)</f>
        <v/>
      </c>
      <c r="H17" s="225" t="str">
        <f>IF(G17="","",'Lighting Savings'!M27)</f>
        <v/>
      </c>
      <c r="I17" s="226" t="str">
        <f>IF('Lighting Savings'!L27="","",IF(OR('Lighting Savings'!O27&gt;0,'Lighting Savings'!N27="Enter Watts"),'Lighting Savings'!O27,'Lighting Savings'!N27))</f>
        <v/>
      </c>
      <c r="J17" s="226" t="str">
        <f>IF('Lighting Savings'!Q27="","",'Lighting Savings'!Q27)</f>
        <v/>
      </c>
      <c r="K17" s="227" t="str">
        <f>IF('Lighting Savings'!S27="","",'Lighting Savings'!S27)</f>
        <v/>
      </c>
      <c r="L17" s="227" t="str">
        <f>IF('Lighting Savings'!V27="","",'Lighting Savings'!V27)</f>
        <v/>
      </c>
      <c r="M17" s="225" t="str">
        <f>IF('Lighting Savings'!W27="","",'Lighting Savings'!W27)</f>
        <v/>
      </c>
      <c r="N17" s="227" t="str">
        <f>IF('Lighting Savings'!X27&lt;&gt;"", DOLLAR('Lighting Savings'!X27)&amp;" "&amp;'Lighting Savings'!Y27,"")</f>
        <v/>
      </c>
      <c r="O17" s="225" t="str">
        <f>IF('Lighting Savings'!AA27="None","None", DOLLAR('Lighting Savings'!Z27)&amp;" "&amp;'Lighting Savings'!AA27)</f>
        <v>None</v>
      </c>
      <c r="P17" s="228" t="str">
        <f>'Lighting Savings'!AG27</f>
        <v/>
      </c>
      <c r="Q17" s="226" t="str">
        <f>'Lighting Savings'!AH27</f>
        <v/>
      </c>
      <c r="R17" s="227" t="str">
        <f>'Lighting Savings'!AI27</f>
        <v/>
      </c>
      <c r="S17" s="227">
        <f>IF('Lighting Savings'!AK27="","",'Lighting Savings'!AK27)</f>
        <v>0</v>
      </c>
      <c r="T17" s="269" t="str">
        <f>'Lighting Savings'!AO27</f>
        <v/>
      </c>
    </row>
    <row r="18" spans="1:20" s="235" customFormat="1" x14ac:dyDescent="0.25">
      <c r="A18" s="224">
        <f>'Lighting Savings'!B28</f>
        <v>9</v>
      </c>
      <c r="B18" s="225" t="str">
        <f>IF('Lighting Savings'!C28="","",'Lighting Savings'!C28)</f>
        <v/>
      </c>
      <c r="C18" s="225" t="str">
        <f>IF('Lighting Savings'!E28="","",'Lighting Savings'!E28)</f>
        <v/>
      </c>
      <c r="D18" s="226" t="str">
        <f>IF('Lighting Savings'!E28="","",IF(OR('Lighting Savings'!G28&gt;0,'Lighting Savings'!F28="Enter Watts"),'Lighting Savings'!G28,'Lighting Savings'!F28))</f>
        <v/>
      </c>
      <c r="E18" s="226" t="str">
        <f>IF('Lighting Savings'!I28="","",'Lighting Savings'!I28)</f>
        <v/>
      </c>
      <c r="F18" s="226" t="str">
        <f>IF('Lighting Savings'!J28="","",'Lighting Savings'!J28)</f>
        <v/>
      </c>
      <c r="G18" s="225" t="str">
        <f>IF('Lighting Savings'!L28="","",'Lighting Savings'!L28)</f>
        <v/>
      </c>
      <c r="H18" s="225" t="str">
        <f>IF(G18="","",'Lighting Savings'!M28)</f>
        <v/>
      </c>
      <c r="I18" s="226" t="str">
        <f>IF('Lighting Savings'!L28="","",IF(OR('Lighting Savings'!O28&gt;0,'Lighting Savings'!N28="Enter Watts"),'Lighting Savings'!O28,'Lighting Savings'!N28))</f>
        <v/>
      </c>
      <c r="J18" s="226" t="str">
        <f>IF('Lighting Savings'!Q28="","",'Lighting Savings'!Q28)</f>
        <v/>
      </c>
      <c r="K18" s="227" t="str">
        <f>IF('Lighting Savings'!S28="","",'Lighting Savings'!S28)</f>
        <v/>
      </c>
      <c r="L18" s="227" t="str">
        <f>IF('Lighting Savings'!V28="","",'Lighting Savings'!V28)</f>
        <v/>
      </c>
      <c r="M18" s="225" t="str">
        <f>IF('Lighting Savings'!W28="","",'Lighting Savings'!W28)</f>
        <v/>
      </c>
      <c r="N18" s="227" t="str">
        <f>IF('Lighting Savings'!X28&lt;&gt;"", DOLLAR('Lighting Savings'!X28)&amp;" "&amp;'Lighting Savings'!Y28,"")</f>
        <v/>
      </c>
      <c r="O18" s="225" t="str">
        <f>IF('Lighting Savings'!AA28="None","None", DOLLAR('Lighting Savings'!Z28)&amp;" "&amp;'Lighting Savings'!AA28)</f>
        <v>None</v>
      </c>
      <c r="P18" s="228" t="str">
        <f>'Lighting Savings'!AG28</f>
        <v/>
      </c>
      <c r="Q18" s="226" t="str">
        <f>'Lighting Savings'!AH28</f>
        <v/>
      </c>
      <c r="R18" s="227" t="str">
        <f>'Lighting Savings'!AI28</f>
        <v/>
      </c>
      <c r="S18" s="227">
        <f>IF('Lighting Savings'!AK28="","",'Lighting Savings'!AK28)</f>
        <v>0</v>
      </c>
      <c r="T18" s="269" t="str">
        <f>'Lighting Savings'!AO28</f>
        <v/>
      </c>
    </row>
    <row r="19" spans="1:20" s="235" customFormat="1" x14ac:dyDescent="0.25">
      <c r="A19" s="224">
        <f>'Lighting Savings'!B29</f>
        <v>10</v>
      </c>
      <c r="B19" s="225" t="str">
        <f>IF('Lighting Savings'!C29="","",'Lighting Savings'!C29)</f>
        <v/>
      </c>
      <c r="C19" s="225" t="str">
        <f>IF('Lighting Savings'!E29="","",'Lighting Savings'!E29)</f>
        <v/>
      </c>
      <c r="D19" s="226" t="str">
        <f>IF('Lighting Savings'!E29="","",IF(OR('Lighting Savings'!G29&gt;0,'Lighting Savings'!F29="Enter Watts"),'Lighting Savings'!G29,'Lighting Savings'!F29))</f>
        <v/>
      </c>
      <c r="E19" s="226" t="str">
        <f>IF('Lighting Savings'!I29="","",'Lighting Savings'!I29)</f>
        <v/>
      </c>
      <c r="F19" s="226" t="str">
        <f>IF('Lighting Savings'!J29="","",'Lighting Savings'!J29)</f>
        <v/>
      </c>
      <c r="G19" s="225" t="str">
        <f>IF('Lighting Savings'!L29="","",'Lighting Savings'!L29)</f>
        <v/>
      </c>
      <c r="H19" s="225" t="str">
        <f>IF(G19="","",'Lighting Savings'!M29)</f>
        <v/>
      </c>
      <c r="I19" s="226" t="str">
        <f>IF('Lighting Savings'!L29="","",IF(OR('Lighting Savings'!O29&gt;0,'Lighting Savings'!N29="Enter Watts"),'Lighting Savings'!O29,'Lighting Savings'!N29))</f>
        <v/>
      </c>
      <c r="J19" s="226" t="str">
        <f>IF('Lighting Savings'!Q29="","",'Lighting Savings'!Q29)</f>
        <v/>
      </c>
      <c r="K19" s="227" t="str">
        <f>IF('Lighting Savings'!S29="","",'Lighting Savings'!S29)</f>
        <v/>
      </c>
      <c r="L19" s="227" t="str">
        <f>IF('Lighting Savings'!V29="","",'Lighting Savings'!V29)</f>
        <v/>
      </c>
      <c r="M19" s="225" t="str">
        <f>IF('Lighting Savings'!W29="","",'Lighting Savings'!W29)</f>
        <v/>
      </c>
      <c r="N19" s="227" t="str">
        <f>IF('Lighting Savings'!X29&lt;&gt;"", DOLLAR('Lighting Savings'!X29)&amp;" "&amp;'Lighting Savings'!Y29,"")</f>
        <v/>
      </c>
      <c r="O19" s="225" t="str">
        <f>IF('Lighting Savings'!AA29="None","None", DOLLAR('Lighting Savings'!Z29)&amp;" "&amp;'Lighting Savings'!AA29)</f>
        <v>None</v>
      </c>
      <c r="P19" s="228" t="str">
        <f>'Lighting Savings'!AG29</f>
        <v/>
      </c>
      <c r="Q19" s="226" t="str">
        <f>'Lighting Savings'!AH29</f>
        <v/>
      </c>
      <c r="R19" s="227" t="str">
        <f>'Lighting Savings'!AI29</f>
        <v/>
      </c>
      <c r="S19" s="227">
        <f>IF('Lighting Savings'!AK29="","",'Lighting Savings'!AK29)</f>
        <v>0</v>
      </c>
      <c r="T19" s="269" t="str">
        <f>'Lighting Savings'!AO29</f>
        <v/>
      </c>
    </row>
    <row r="20" spans="1:20" s="235" customFormat="1" x14ac:dyDescent="0.25">
      <c r="A20" s="224">
        <f>'Lighting Savings'!B30</f>
        <v>11</v>
      </c>
      <c r="B20" s="225" t="str">
        <f>IF('Lighting Savings'!C30="","",'Lighting Savings'!C30)</f>
        <v/>
      </c>
      <c r="C20" s="225" t="str">
        <f>IF('Lighting Savings'!E30="","",'Lighting Savings'!E30)</f>
        <v/>
      </c>
      <c r="D20" s="226" t="str">
        <f>IF('Lighting Savings'!E30="","",IF(OR('Lighting Savings'!G30&gt;0,'Lighting Savings'!F30="Enter Watts"),'Lighting Savings'!G30,'Lighting Savings'!F30))</f>
        <v/>
      </c>
      <c r="E20" s="226" t="str">
        <f>IF('Lighting Savings'!I30="","",'Lighting Savings'!I30)</f>
        <v/>
      </c>
      <c r="F20" s="226" t="str">
        <f>IF('Lighting Savings'!J30="","",'Lighting Savings'!J30)</f>
        <v/>
      </c>
      <c r="G20" s="225" t="str">
        <f>IF('Lighting Savings'!L30="","",'Lighting Savings'!L30)</f>
        <v/>
      </c>
      <c r="H20" s="225" t="str">
        <f>IF(G20="","",'Lighting Savings'!M30)</f>
        <v/>
      </c>
      <c r="I20" s="226" t="str">
        <f>IF('Lighting Savings'!L30="","",IF(OR('Lighting Savings'!O30&gt;0,'Lighting Savings'!N30="Enter Watts"),'Lighting Savings'!O30,'Lighting Savings'!N30))</f>
        <v/>
      </c>
      <c r="J20" s="226" t="str">
        <f>IF('Lighting Savings'!Q30="","",'Lighting Savings'!Q30)</f>
        <v/>
      </c>
      <c r="K20" s="227" t="str">
        <f>IF('Lighting Savings'!S30="","",'Lighting Savings'!S30)</f>
        <v/>
      </c>
      <c r="L20" s="227" t="str">
        <f>IF('Lighting Savings'!V30="","",'Lighting Savings'!V30)</f>
        <v/>
      </c>
      <c r="M20" s="225" t="str">
        <f>IF('Lighting Savings'!W30="","",'Lighting Savings'!W30)</f>
        <v/>
      </c>
      <c r="N20" s="227" t="str">
        <f>IF('Lighting Savings'!X30&lt;&gt;"", DOLLAR('Lighting Savings'!X30)&amp;" "&amp;'Lighting Savings'!Y30,"")</f>
        <v/>
      </c>
      <c r="O20" s="225" t="str">
        <f>IF('Lighting Savings'!AA30="None","None", DOLLAR('Lighting Savings'!Z30)&amp;" "&amp;'Lighting Savings'!AA30)</f>
        <v>None</v>
      </c>
      <c r="P20" s="228" t="str">
        <f>'Lighting Savings'!AG30</f>
        <v/>
      </c>
      <c r="Q20" s="226" t="str">
        <f>'Lighting Savings'!AH30</f>
        <v/>
      </c>
      <c r="R20" s="227" t="str">
        <f>'Lighting Savings'!AI30</f>
        <v/>
      </c>
      <c r="S20" s="227">
        <f>IF('Lighting Savings'!AK30="","",'Lighting Savings'!AK30)</f>
        <v>0</v>
      </c>
      <c r="T20" s="269" t="str">
        <f>'Lighting Savings'!AO30</f>
        <v/>
      </c>
    </row>
    <row r="21" spans="1:20" s="235" customFormat="1" x14ac:dyDescent="0.25">
      <c r="A21" s="224">
        <f>'Lighting Savings'!B31</f>
        <v>12</v>
      </c>
      <c r="B21" s="225" t="str">
        <f>IF('Lighting Savings'!C31="","",'Lighting Savings'!C31)</f>
        <v/>
      </c>
      <c r="C21" s="225" t="str">
        <f>IF('Lighting Savings'!E31="","",'Lighting Savings'!E31)</f>
        <v/>
      </c>
      <c r="D21" s="226" t="str">
        <f>IF('Lighting Savings'!E31="","",IF(OR('Lighting Savings'!G31&gt;0,'Lighting Savings'!F31="Enter Watts"),'Lighting Savings'!G31,'Lighting Savings'!F31))</f>
        <v/>
      </c>
      <c r="E21" s="226" t="str">
        <f>IF('Lighting Savings'!I31="","",'Lighting Savings'!I31)</f>
        <v/>
      </c>
      <c r="F21" s="226" t="str">
        <f>IF('Lighting Savings'!J31="","",'Lighting Savings'!J31)</f>
        <v/>
      </c>
      <c r="G21" s="225" t="str">
        <f>IF('Lighting Savings'!L31="","",'Lighting Savings'!L31)</f>
        <v/>
      </c>
      <c r="H21" s="225" t="str">
        <f>IF(G21="","",'Lighting Savings'!M31)</f>
        <v/>
      </c>
      <c r="I21" s="226" t="str">
        <f>IF('Lighting Savings'!L31="","",IF(OR('Lighting Savings'!O31&gt;0,'Lighting Savings'!N31="Enter Watts"),'Lighting Savings'!O31,'Lighting Savings'!N31))</f>
        <v/>
      </c>
      <c r="J21" s="226" t="str">
        <f>IF('Lighting Savings'!Q31="","",'Lighting Savings'!Q31)</f>
        <v/>
      </c>
      <c r="K21" s="227" t="str">
        <f>IF('Lighting Savings'!S31="","",'Lighting Savings'!S31)</f>
        <v/>
      </c>
      <c r="L21" s="227" t="str">
        <f>IF('Lighting Savings'!V31="","",'Lighting Savings'!V31)</f>
        <v/>
      </c>
      <c r="M21" s="225" t="str">
        <f>IF('Lighting Savings'!W31="","",'Lighting Savings'!W31)</f>
        <v/>
      </c>
      <c r="N21" s="227" t="str">
        <f>IF('Lighting Savings'!X31&lt;&gt;"", DOLLAR('Lighting Savings'!X31)&amp;" "&amp;'Lighting Savings'!Y31,"")</f>
        <v/>
      </c>
      <c r="O21" s="225" t="str">
        <f>IF('Lighting Savings'!AA31="None","None", DOLLAR('Lighting Savings'!Z31)&amp;" "&amp;'Lighting Savings'!AA31)</f>
        <v>None</v>
      </c>
      <c r="P21" s="228" t="str">
        <f>'Lighting Savings'!AG31</f>
        <v/>
      </c>
      <c r="Q21" s="226" t="str">
        <f>'Lighting Savings'!AH31</f>
        <v/>
      </c>
      <c r="R21" s="227" t="str">
        <f>'Lighting Savings'!AI31</f>
        <v/>
      </c>
      <c r="S21" s="227">
        <f>IF('Lighting Savings'!AK31="","",'Lighting Savings'!AK31)</f>
        <v>0</v>
      </c>
      <c r="T21" s="269" t="str">
        <f>'Lighting Savings'!AO31</f>
        <v/>
      </c>
    </row>
    <row r="22" spans="1:20" s="235" customFormat="1" x14ac:dyDescent="0.25">
      <c r="A22" s="224">
        <f>'Lighting Savings'!B32</f>
        <v>13</v>
      </c>
      <c r="B22" s="225" t="str">
        <f>IF('Lighting Savings'!C32="","",'Lighting Savings'!C32)</f>
        <v/>
      </c>
      <c r="C22" s="225" t="str">
        <f>IF('Lighting Savings'!E32="","",'Lighting Savings'!E32)</f>
        <v/>
      </c>
      <c r="D22" s="226" t="str">
        <f>IF('Lighting Savings'!E32="","",IF(OR('Lighting Savings'!G32&gt;0,'Lighting Savings'!F32="Enter Watts"),'Lighting Savings'!G32,'Lighting Savings'!F32))</f>
        <v/>
      </c>
      <c r="E22" s="226" t="str">
        <f>IF('Lighting Savings'!I32="","",'Lighting Savings'!I32)</f>
        <v/>
      </c>
      <c r="F22" s="226" t="str">
        <f>IF('Lighting Savings'!J32="","",'Lighting Savings'!J32)</f>
        <v/>
      </c>
      <c r="G22" s="225" t="str">
        <f>IF('Lighting Savings'!L32="","",'Lighting Savings'!L32)</f>
        <v/>
      </c>
      <c r="H22" s="225" t="str">
        <f>IF(G22="","",'Lighting Savings'!M32)</f>
        <v/>
      </c>
      <c r="I22" s="226" t="str">
        <f>IF('Lighting Savings'!L32="","",IF(OR('Lighting Savings'!O32&gt;0,'Lighting Savings'!N32="Enter Watts"),'Lighting Savings'!O32,'Lighting Savings'!N32))</f>
        <v/>
      </c>
      <c r="J22" s="226" t="str">
        <f>IF('Lighting Savings'!Q32="","",'Lighting Savings'!Q32)</f>
        <v/>
      </c>
      <c r="K22" s="227" t="str">
        <f>IF('Lighting Savings'!S32="","",'Lighting Savings'!S32)</f>
        <v/>
      </c>
      <c r="L22" s="227" t="str">
        <f>IF('Lighting Savings'!V32="","",'Lighting Savings'!V32)</f>
        <v/>
      </c>
      <c r="M22" s="225" t="str">
        <f>IF('Lighting Savings'!W32="","",'Lighting Savings'!W32)</f>
        <v/>
      </c>
      <c r="N22" s="227" t="str">
        <f>IF('Lighting Savings'!X32&lt;&gt;"", DOLLAR('Lighting Savings'!X32)&amp;" "&amp;'Lighting Savings'!Y32,"")</f>
        <v/>
      </c>
      <c r="O22" s="225" t="str">
        <f>IF('Lighting Savings'!AA32="None","None", DOLLAR('Lighting Savings'!Z32)&amp;" "&amp;'Lighting Savings'!AA32)</f>
        <v>None</v>
      </c>
      <c r="P22" s="228" t="str">
        <f>'Lighting Savings'!AG32</f>
        <v/>
      </c>
      <c r="Q22" s="226" t="str">
        <f>'Lighting Savings'!AH32</f>
        <v/>
      </c>
      <c r="R22" s="227" t="str">
        <f>'Lighting Savings'!AI32</f>
        <v/>
      </c>
      <c r="S22" s="227">
        <f>IF('Lighting Savings'!AK32="","",'Lighting Savings'!AK32)</f>
        <v>0</v>
      </c>
      <c r="T22" s="269" t="str">
        <f>'Lighting Savings'!AO32</f>
        <v/>
      </c>
    </row>
    <row r="23" spans="1:20" s="235" customFormat="1" x14ac:dyDescent="0.25">
      <c r="A23" s="224">
        <f>'Lighting Savings'!B33</f>
        <v>14</v>
      </c>
      <c r="B23" s="225" t="str">
        <f>IF('Lighting Savings'!C33="","",'Lighting Savings'!C33)</f>
        <v/>
      </c>
      <c r="C23" s="225" t="str">
        <f>IF('Lighting Savings'!E33="","",'Lighting Savings'!E33)</f>
        <v/>
      </c>
      <c r="D23" s="226" t="str">
        <f>IF('Lighting Savings'!E33="","",IF(OR('Lighting Savings'!G33&gt;0,'Lighting Savings'!F33="Enter Watts"),'Lighting Savings'!G33,'Lighting Savings'!F33))</f>
        <v/>
      </c>
      <c r="E23" s="226" t="str">
        <f>IF('Lighting Savings'!I33="","",'Lighting Savings'!I33)</f>
        <v/>
      </c>
      <c r="F23" s="226" t="str">
        <f>IF('Lighting Savings'!J33="","",'Lighting Savings'!J33)</f>
        <v/>
      </c>
      <c r="G23" s="225" t="str">
        <f>IF('Lighting Savings'!L33="","",'Lighting Savings'!L33)</f>
        <v/>
      </c>
      <c r="H23" s="225" t="str">
        <f>IF(G23="","",'Lighting Savings'!M33)</f>
        <v/>
      </c>
      <c r="I23" s="226" t="str">
        <f>IF('Lighting Savings'!L33="","",IF(OR('Lighting Savings'!O33&gt;0,'Lighting Savings'!N33="Enter Watts"),'Lighting Savings'!O33,'Lighting Savings'!N33))</f>
        <v/>
      </c>
      <c r="J23" s="226" t="str">
        <f>IF('Lighting Savings'!Q33="","",'Lighting Savings'!Q33)</f>
        <v/>
      </c>
      <c r="K23" s="227" t="str">
        <f>IF('Lighting Savings'!S33="","",'Lighting Savings'!S33)</f>
        <v/>
      </c>
      <c r="L23" s="227" t="str">
        <f>IF('Lighting Savings'!V33="","",'Lighting Savings'!V33)</f>
        <v/>
      </c>
      <c r="M23" s="225" t="str">
        <f>IF('Lighting Savings'!W33="","",'Lighting Savings'!W33)</f>
        <v/>
      </c>
      <c r="N23" s="227" t="str">
        <f>IF('Lighting Savings'!X33&lt;&gt;"", DOLLAR('Lighting Savings'!X33)&amp;" "&amp;'Lighting Savings'!Y33,"")</f>
        <v/>
      </c>
      <c r="O23" s="225" t="str">
        <f>IF('Lighting Savings'!AA33="None","None", DOLLAR('Lighting Savings'!Z33)&amp;" "&amp;'Lighting Savings'!AA33)</f>
        <v>None</v>
      </c>
      <c r="P23" s="228" t="str">
        <f>'Lighting Savings'!AG33</f>
        <v/>
      </c>
      <c r="Q23" s="226" t="str">
        <f>'Lighting Savings'!AH33</f>
        <v/>
      </c>
      <c r="R23" s="227" t="str">
        <f>'Lighting Savings'!AI33</f>
        <v/>
      </c>
      <c r="S23" s="227">
        <f>IF('Lighting Savings'!AK33="","",'Lighting Savings'!AK33)</f>
        <v>0</v>
      </c>
      <c r="T23" s="269" t="str">
        <f>'Lighting Savings'!AO33</f>
        <v/>
      </c>
    </row>
    <row r="24" spans="1:20" s="235" customFormat="1" x14ac:dyDescent="0.25">
      <c r="A24" s="224">
        <f>'Lighting Savings'!B34</f>
        <v>15</v>
      </c>
      <c r="B24" s="225" t="str">
        <f>IF('Lighting Savings'!C34="","",'Lighting Savings'!C34)</f>
        <v/>
      </c>
      <c r="C24" s="225" t="str">
        <f>IF('Lighting Savings'!E34="","",'Lighting Savings'!E34)</f>
        <v/>
      </c>
      <c r="D24" s="226" t="str">
        <f>IF('Lighting Savings'!E34="","",IF(OR('Lighting Savings'!G34&gt;0,'Lighting Savings'!F34="Enter Watts"),'Lighting Savings'!G34,'Lighting Savings'!F34))</f>
        <v/>
      </c>
      <c r="E24" s="226" t="str">
        <f>IF('Lighting Savings'!I34="","",'Lighting Savings'!I34)</f>
        <v/>
      </c>
      <c r="F24" s="226" t="str">
        <f>IF('Lighting Savings'!J34="","",'Lighting Savings'!J34)</f>
        <v/>
      </c>
      <c r="G24" s="225" t="str">
        <f>IF('Lighting Savings'!L34="","",'Lighting Savings'!L34)</f>
        <v/>
      </c>
      <c r="H24" s="225" t="str">
        <f>IF(G24="","",'Lighting Savings'!M34)</f>
        <v/>
      </c>
      <c r="I24" s="226" t="str">
        <f>IF('Lighting Savings'!L34="","",IF(OR('Lighting Savings'!O34&gt;0,'Lighting Savings'!N34="Enter Watts"),'Lighting Savings'!O34,'Lighting Savings'!N34))</f>
        <v/>
      </c>
      <c r="J24" s="226" t="str">
        <f>IF('Lighting Savings'!Q34="","",'Lighting Savings'!Q34)</f>
        <v/>
      </c>
      <c r="K24" s="227" t="str">
        <f>IF('Lighting Savings'!S34="","",'Lighting Savings'!S34)</f>
        <v/>
      </c>
      <c r="L24" s="227" t="str">
        <f>IF('Lighting Savings'!V34="","",'Lighting Savings'!V34)</f>
        <v/>
      </c>
      <c r="M24" s="225" t="str">
        <f>IF('Lighting Savings'!W34="","",'Lighting Savings'!W34)</f>
        <v/>
      </c>
      <c r="N24" s="227" t="str">
        <f>IF('Lighting Savings'!X34&lt;&gt;"", DOLLAR('Lighting Savings'!X34)&amp;" "&amp;'Lighting Savings'!Y34,"")</f>
        <v/>
      </c>
      <c r="O24" s="225" t="str">
        <f>IF('Lighting Savings'!AA34="None","None", DOLLAR('Lighting Savings'!Z34)&amp;" "&amp;'Lighting Savings'!AA34)</f>
        <v>None</v>
      </c>
      <c r="P24" s="228" t="str">
        <f>'Lighting Savings'!AG34</f>
        <v/>
      </c>
      <c r="Q24" s="226" t="str">
        <f>'Lighting Savings'!AH34</f>
        <v/>
      </c>
      <c r="R24" s="227" t="str">
        <f>'Lighting Savings'!AI34</f>
        <v/>
      </c>
      <c r="S24" s="227">
        <f>IF('Lighting Savings'!AK34="","",'Lighting Savings'!AK34)</f>
        <v>0</v>
      </c>
      <c r="T24" s="269" t="str">
        <f>'Lighting Savings'!AO34</f>
        <v/>
      </c>
    </row>
    <row r="25" spans="1:20" s="235" customFormat="1" x14ac:dyDescent="0.25">
      <c r="A25" s="224">
        <f>'Lighting Savings'!B35</f>
        <v>16</v>
      </c>
      <c r="B25" s="225" t="str">
        <f>IF('Lighting Savings'!C35="","",'Lighting Savings'!C35)</f>
        <v/>
      </c>
      <c r="C25" s="225" t="str">
        <f>IF('Lighting Savings'!E35="","",'Lighting Savings'!E35)</f>
        <v/>
      </c>
      <c r="D25" s="226" t="str">
        <f>IF('Lighting Savings'!E35="","",IF(OR('Lighting Savings'!G35&gt;0,'Lighting Savings'!F35="Enter Watts"),'Lighting Savings'!G35,'Lighting Savings'!F35))</f>
        <v/>
      </c>
      <c r="E25" s="226" t="str">
        <f>IF('Lighting Savings'!I35="","",'Lighting Savings'!I35)</f>
        <v/>
      </c>
      <c r="F25" s="226" t="str">
        <f>IF('Lighting Savings'!J35="","",'Lighting Savings'!J35)</f>
        <v/>
      </c>
      <c r="G25" s="225" t="str">
        <f>IF('Lighting Savings'!L35="","",'Lighting Savings'!L35)</f>
        <v/>
      </c>
      <c r="H25" s="225" t="str">
        <f>IF(G25="","",'Lighting Savings'!M35)</f>
        <v/>
      </c>
      <c r="I25" s="226" t="str">
        <f>IF('Lighting Savings'!L35="","",IF(OR('Lighting Savings'!O35&gt;0,'Lighting Savings'!N35="Enter Watts"),'Lighting Savings'!O35,'Lighting Savings'!N35))</f>
        <v/>
      </c>
      <c r="J25" s="226" t="str">
        <f>IF('Lighting Savings'!Q35="","",'Lighting Savings'!Q35)</f>
        <v/>
      </c>
      <c r="K25" s="227" t="str">
        <f>IF('Lighting Savings'!S35="","",'Lighting Savings'!S35)</f>
        <v/>
      </c>
      <c r="L25" s="227" t="str">
        <f>IF('Lighting Savings'!V35="","",'Lighting Savings'!V35)</f>
        <v/>
      </c>
      <c r="M25" s="225" t="str">
        <f>IF('Lighting Savings'!W35="","",'Lighting Savings'!W35)</f>
        <v/>
      </c>
      <c r="N25" s="227" t="str">
        <f>IF('Lighting Savings'!X35&lt;&gt;"", DOLLAR('Lighting Savings'!X35)&amp;" "&amp;'Lighting Savings'!Y35,"")</f>
        <v/>
      </c>
      <c r="O25" s="225" t="str">
        <f>IF('Lighting Savings'!AA35="None","None", DOLLAR('Lighting Savings'!Z35)&amp;" "&amp;'Lighting Savings'!AA35)</f>
        <v>None</v>
      </c>
      <c r="P25" s="228" t="str">
        <f>'Lighting Savings'!AG35</f>
        <v/>
      </c>
      <c r="Q25" s="226" t="str">
        <f>'Lighting Savings'!AH35</f>
        <v/>
      </c>
      <c r="R25" s="227" t="str">
        <f>'Lighting Savings'!AI35</f>
        <v/>
      </c>
      <c r="S25" s="227">
        <f>IF('Lighting Savings'!AK35="","",'Lighting Savings'!AK35)</f>
        <v>0</v>
      </c>
      <c r="T25" s="269" t="str">
        <f>'Lighting Savings'!AO35</f>
        <v/>
      </c>
    </row>
    <row r="26" spans="1:20" s="235" customFormat="1" x14ac:dyDescent="0.25">
      <c r="A26" s="224">
        <f>'Lighting Savings'!B36</f>
        <v>17</v>
      </c>
      <c r="B26" s="225" t="str">
        <f>IF('Lighting Savings'!C36="","",'Lighting Savings'!C36)</f>
        <v/>
      </c>
      <c r="C26" s="225" t="str">
        <f>IF('Lighting Savings'!E36="","",'Lighting Savings'!E36)</f>
        <v/>
      </c>
      <c r="D26" s="226" t="str">
        <f>IF('Lighting Savings'!E36="","",IF(OR('Lighting Savings'!G36&gt;0,'Lighting Savings'!F36="Enter Watts"),'Lighting Savings'!G36,'Lighting Savings'!F36))</f>
        <v/>
      </c>
      <c r="E26" s="226" t="str">
        <f>IF('Lighting Savings'!I36="","",'Lighting Savings'!I36)</f>
        <v/>
      </c>
      <c r="F26" s="226" t="str">
        <f>IF('Lighting Savings'!J36="","",'Lighting Savings'!J36)</f>
        <v/>
      </c>
      <c r="G26" s="225" t="str">
        <f>IF('Lighting Savings'!L36="","",'Lighting Savings'!L36)</f>
        <v/>
      </c>
      <c r="H26" s="225" t="str">
        <f>IF(G26="","",'Lighting Savings'!M36)</f>
        <v/>
      </c>
      <c r="I26" s="226" t="str">
        <f>IF('Lighting Savings'!L36="","",IF(OR('Lighting Savings'!O36&gt;0,'Lighting Savings'!N36="Enter Watts"),'Lighting Savings'!O36,'Lighting Savings'!N36))</f>
        <v/>
      </c>
      <c r="J26" s="226" t="str">
        <f>IF('Lighting Savings'!Q36="","",'Lighting Savings'!Q36)</f>
        <v/>
      </c>
      <c r="K26" s="227" t="str">
        <f>IF('Lighting Savings'!S36="","",'Lighting Savings'!S36)</f>
        <v/>
      </c>
      <c r="L26" s="227" t="str">
        <f>IF('Lighting Savings'!V36="","",'Lighting Savings'!V36)</f>
        <v/>
      </c>
      <c r="M26" s="225" t="str">
        <f>IF('Lighting Savings'!W36="","",'Lighting Savings'!W36)</f>
        <v/>
      </c>
      <c r="N26" s="227" t="str">
        <f>IF('Lighting Savings'!X36&lt;&gt;"", DOLLAR('Lighting Savings'!X36)&amp;" "&amp;'Lighting Savings'!Y36,"")</f>
        <v/>
      </c>
      <c r="O26" s="225" t="str">
        <f>IF('Lighting Savings'!AA36="None","None", DOLLAR('Lighting Savings'!Z36)&amp;" "&amp;'Lighting Savings'!AA36)</f>
        <v>None</v>
      </c>
      <c r="P26" s="228" t="str">
        <f>'Lighting Savings'!AG36</f>
        <v/>
      </c>
      <c r="Q26" s="226" t="str">
        <f>'Lighting Savings'!AH36</f>
        <v/>
      </c>
      <c r="R26" s="227" t="str">
        <f>'Lighting Savings'!AI36</f>
        <v/>
      </c>
      <c r="S26" s="227">
        <f>IF('Lighting Savings'!AK36="","",'Lighting Savings'!AK36)</f>
        <v>0</v>
      </c>
      <c r="T26" s="269" t="str">
        <f>'Lighting Savings'!AO36</f>
        <v/>
      </c>
    </row>
    <row r="27" spans="1:20" s="235" customFormat="1" x14ac:dyDescent="0.25">
      <c r="A27" s="224">
        <f>'Lighting Savings'!B37</f>
        <v>18</v>
      </c>
      <c r="B27" s="225" t="str">
        <f>IF('Lighting Savings'!C37="","",'Lighting Savings'!C37)</f>
        <v/>
      </c>
      <c r="C27" s="225" t="str">
        <f>IF('Lighting Savings'!E37="","",'Lighting Savings'!E37)</f>
        <v/>
      </c>
      <c r="D27" s="226" t="str">
        <f>IF('Lighting Savings'!E37="","",IF(OR('Lighting Savings'!G37&gt;0,'Lighting Savings'!F37="Enter Watts"),'Lighting Savings'!G37,'Lighting Savings'!F37))</f>
        <v/>
      </c>
      <c r="E27" s="226" t="str">
        <f>IF('Lighting Savings'!I37="","",'Lighting Savings'!I37)</f>
        <v/>
      </c>
      <c r="F27" s="226" t="str">
        <f>IF('Lighting Savings'!J37="","",'Lighting Savings'!J37)</f>
        <v/>
      </c>
      <c r="G27" s="225" t="str">
        <f>IF('Lighting Savings'!L37="","",'Lighting Savings'!L37)</f>
        <v/>
      </c>
      <c r="H27" s="225" t="str">
        <f>IF(G27="","",'Lighting Savings'!M37)</f>
        <v/>
      </c>
      <c r="I27" s="226" t="str">
        <f>IF('Lighting Savings'!L37="","",IF(OR('Lighting Savings'!O37&gt;0,'Lighting Savings'!N37="Enter Watts"),'Lighting Savings'!O37,'Lighting Savings'!N37))</f>
        <v/>
      </c>
      <c r="J27" s="226" t="str">
        <f>IF('Lighting Savings'!Q37="","",'Lighting Savings'!Q37)</f>
        <v/>
      </c>
      <c r="K27" s="227" t="str">
        <f>IF('Lighting Savings'!S37="","",'Lighting Savings'!S37)</f>
        <v/>
      </c>
      <c r="L27" s="227" t="str">
        <f>IF('Lighting Savings'!V37="","",'Lighting Savings'!V37)</f>
        <v/>
      </c>
      <c r="M27" s="225" t="str">
        <f>IF('Lighting Savings'!W37="","",'Lighting Savings'!W37)</f>
        <v/>
      </c>
      <c r="N27" s="227" t="str">
        <f>IF('Lighting Savings'!X37&lt;&gt;"", DOLLAR('Lighting Savings'!X37)&amp;" "&amp;'Lighting Savings'!Y37,"")</f>
        <v/>
      </c>
      <c r="O27" s="225" t="str">
        <f>IF('Lighting Savings'!AA37="None","None", DOLLAR('Lighting Savings'!Z37)&amp;" "&amp;'Lighting Savings'!AA37)</f>
        <v>None</v>
      </c>
      <c r="P27" s="228" t="str">
        <f>'Lighting Savings'!AG37</f>
        <v/>
      </c>
      <c r="Q27" s="226" t="str">
        <f>'Lighting Savings'!AH37</f>
        <v/>
      </c>
      <c r="R27" s="227" t="str">
        <f>'Lighting Savings'!AI37</f>
        <v/>
      </c>
      <c r="S27" s="227">
        <f>IF('Lighting Savings'!AK37="","",'Lighting Savings'!AK37)</f>
        <v>0</v>
      </c>
      <c r="T27" s="269" t="str">
        <f>'Lighting Savings'!AO37</f>
        <v/>
      </c>
    </row>
    <row r="28" spans="1:20" s="235" customFormat="1" x14ac:dyDescent="0.25">
      <c r="A28" s="224">
        <f>'Lighting Savings'!B38</f>
        <v>19</v>
      </c>
      <c r="B28" s="225" t="str">
        <f>IF('Lighting Savings'!C38="","",'Lighting Savings'!C38)</f>
        <v/>
      </c>
      <c r="C28" s="225" t="str">
        <f>IF('Lighting Savings'!E38="","",'Lighting Savings'!E38)</f>
        <v/>
      </c>
      <c r="D28" s="226" t="str">
        <f>IF('Lighting Savings'!E38="","",IF(OR('Lighting Savings'!G38&gt;0,'Lighting Savings'!F38="Enter Watts"),'Lighting Savings'!G38,'Lighting Savings'!F38))</f>
        <v/>
      </c>
      <c r="E28" s="226" t="str">
        <f>IF('Lighting Savings'!I38="","",'Lighting Savings'!I38)</f>
        <v/>
      </c>
      <c r="F28" s="226" t="str">
        <f>IF('Lighting Savings'!J38="","",'Lighting Savings'!J38)</f>
        <v/>
      </c>
      <c r="G28" s="225" t="str">
        <f>IF('Lighting Savings'!L38="","",'Lighting Savings'!L38)</f>
        <v/>
      </c>
      <c r="H28" s="225" t="str">
        <f>IF(G28="","",'Lighting Savings'!M38)</f>
        <v/>
      </c>
      <c r="I28" s="226" t="str">
        <f>IF('Lighting Savings'!L38="","",IF(OR('Lighting Savings'!O38&gt;0,'Lighting Savings'!N38="Enter Watts"),'Lighting Savings'!O38,'Lighting Savings'!N38))</f>
        <v/>
      </c>
      <c r="J28" s="226" t="str">
        <f>IF('Lighting Savings'!Q38="","",'Lighting Savings'!Q38)</f>
        <v/>
      </c>
      <c r="K28" s="227" t="str">
        <f>IF('Lighting Savings'!S38="","",'Lighting Savings'!S38)</f>
        <v/>
      </c>
      <c r="L28" s="227" t="str">
        <f>IF('Lighting Savings'!V38="","",'Lighting Savings'!V38)</f>
        <v/>
      </c>
      <c r="M28" s="225" t="str">
        <f>IF('Lighting Savings'!W38="","",'Lighting Savings'!W38)</f>
        <v/>
      </c>
      <c r="N28" s="227" t="str">
        <f>IF('Lighting Savings'!X38&lt;&gt;"", DOLLAR('Lighting Savings'!X38)&amp;" "&amp;'Lighting Savings'!Y38,"")</f>
        <v/>
      </c>
      <c r="O28" s="225" t="str">
        <f>IF('Lighting Savings'!AA38="None","None", DOLLAR('Lighting Savings'!Z38)&amp;" "&amp;'Lighting Savings'!AA38)</f>
        <v>None</v>
      </c>
      <c r="P28" s="228" t="str">
        <f>'Lighting Savings'!AG38</f>
        <v/>
      </c>
      <c r="Q28" s="226" t="str">
        <f>'Lighting Savings'!AH38</f>
        <v/>
      </c>
      <c r="R28" s="227" t="str">
        <f>'Lighting Savings'!AI38</f>
        <v/>
      </c>
      <c r="S28" s="227">
        <f>IF('Lighting Savings'!AK38="","",'Lighting Savings'!AK38)</f>
        <v>0</v>
      </c>
      <c r="T28" s="269" t="str">
        <f>'Lighting Savings'!AO38</f>
        <v/>
      </c>
    </row>
    <row r="29" spans="1:20" s="235" customFormat="1" x14ac:dyDescent="0.25">
      <c r="A29" s="224">
        <f>'Lighting Savings'!B39</f>
        <v>20</v>
      </c>
      <c r="B29" s="225" t="str">
        <f>IF('Lighting Savings'!C39="","",'Lighting Savings'!C39)</f>
        <v/>
      </c>
      <c r="C29" s="225" t="str">
        <f>IF('Lighting Savings'!E39="","",'Lighting Savings'!E39)</f>
        <v/>
      </c>
      <c r="D29" s="226" t="str">
        <f>IF('Lighting Savings'!E39="","",IF(OR('Lighting Savings'!G39&gt;0,'Lighting Savings'!F39="Enter Watts"),'Lighting Savings'!G39,'Lighting Savings'!F39))</f>
        <v/>
      </c>
      <c r="E29" s="226" t="str">
        <f>IF('Lighting Savings'!I39="","",'Lighting Savings'!I39)</f>
        <v/>
      </c>
      <c r="F29" s="226" t="str">
        <f>IF('Lighting Savings'!J39="","",'Lighting Savings'!J39)</f>
        <v/>
      </c>
      <c r="G29" s="225" t="str">
        <f>IF('Lighting Savings'!L39="","",'Lighting Savings'!L39)</f>
        <v/>
      </c>
      <c r="H29" s="225" t="str">
        <f>IF(G29="","",'Lighting Savings'!M39)</f>
        <v/>
      </c>
      <c r="I29" s="226" t="str">
        <f>IF('Lighting Savings'!L39="","",IF(OR('Lighting Savings'!O39&gt;0,'Lighting Savings'!N39="Enter Watts"),'Lighting Savings'!O39,'Lighting Savings'!N39))</f>
        <v/>
      </c>
      <c r="J29" s="226" t="str">
        <f>IF('Lighting Savings'!Q39="","",'Lighting Savings'!Q39)</f>
        <v/>
      </c>
      <c r="K29" s="227" t="str">
        <f>IF('Lighting Savings'!S39="","",'Lighting Savings'!S39)</f>
        <v/>
      </c>
      <c r="L29" s="227" t="str">
        <f>IF('Lighting Savings'!V39="","",'Lighting Savings'!V39)</f>
        <v/>
      </c>
      <c r="M29" s="225" t="str">
        <f>IF('Lighting Savings'!W39="","",'Lighting Savings'!W39)</f>
        <v/>
      </c>
      <c r="N29" s="227" t="str">
        <f>IF('Lighting Savings'!X39&lt;&gt;"", DOLLAR('Lighting Savings'!X39)&amp;" "&amp;'Lighting Savings'!Y39,"")</f>
        <v/>
      </c>
      <c r="O29" s="225" t="str">
        <f>IF('Lighting Savings'!AA39="None","None", DOLLAR('Lighting Savings'!Z39)&amp;" "&amp;'Lighting Savings'!AA39)</f>
        <v>None</v>
      </c>
      <c r="P29" s="228" t="str">
        <f>'Lighting Savings'!AG39</f>
        <v/>
      </c>
      <c r="Q29" s="226" t="str">
        <f>'Lighting Savings'!AH39</f>
        <v/>
      </c>
      <c r="R29" s="227" t="str">
        <f>'Lighting Savings'!AI39</f>
        <v/>
      </c>
      <c r="S29" s="227">
        <f>IF('Lighting Savings'!AK39="","",'Lighting Savings'!AK39)</f>
        <v>0</v>
      </c>
      <c r="T29" s="269" t="str">
        <f>'Lighting Savings'!AO39</f>
        <v/>
      </c>
    </row>
    <row r="30" spans="1:20" s="235" customFormat="1" x14ac:dyDescent="0.25">
      <c r="A30" s="224">
        <f>'Lighting Savings'!B40</f>
        <v>21</v>
      </c>
      <c r="B30" s="225" t="str">
        <f>IF('Lighting Savings'!C40="","",'Lighting Savings'!C40)</f>
        <v/>
      </c>
      <c r="C30" s="225" t="str">
        <f>IF('Lighting Savings'!E40="","",'Lighting Savings'!E40)</f>
        <v/>
      </c>
      <c r="D30" s="226" t="str">
        <f>IF('Lighting Savings'!E40="","",IF(OR('Lighting Savings'!G40&gt;0,'Lighting Savings'!F40="Enter Watts"),'Lighting Savings'!G40,'Lighting Savings'!F40))</f>
        <v/>
      </c>
      <c r="E30" s="226" t="str">
        <f>IF('Lighting Savings'!I40="","",'Lighting Savings'!I40)</f>
        <v/>
      </c>
      <c r="F30" s="226" t="str">
        <f>IF('Lighting Savings'!J40="","",'Lighting Savings'!J40)</f>
        <v/>
      </c>
      <c r="G30" s="225" t="str">
        <f>IF('Lighting Savings'!L40="","",'Lighting Savings'!L40)</f>
        <v/>
      </c>
      <c r="H30" s="225" t="str">
        <f>IF(G30="","",'Lighting Savings'!M40)</f>
        <v/>
      </c>
      <c r="I30" s="226" t="str">
        <f>IF('Lighting Savings'!L40="","",IF(OR('Lighting Savings'!O40&gt;0,'Lighting Savings'!N40="Enter Watts"),'Lighting Savings'!O40,'Lighting Savings'!N40))</f>
        <v/>
      </c>
      <c r="J30" s="226" t="str">
        <f>IF('Lighting Savings'!Q40="","",'Lighting Savings'!Q40)</f>
        <v/>
      </c>
      <c r="K30" s="227" t="str">
        <f>IF('Lighting Savings'!S40="","",'Lighting Savings'!S40)</f>
        <v/>
      </c>
      <c r="L30" s="227" t="str">
        <f>IF('Lighting Savings'!V40="","",'Lighting Savings'!V40)</f>
        <v/>
      </c>
      <c r="M30" s="225" t="str">
        <f>IF('Lighting Savings'!W40="","",'Lighting Savings'!W40)</f>
        <v/>
      </c>
      <c r="N30" s="227" t="str">
        <f>IF('Lighting Savings'!X40&lt;&gt;"", DOLLAR('Lighting Savings'!X40)&amp;" "&amp;'Lighting Savings'!Y40,"")</f>
        <v/>
      </c>
      <c r="O30" s="225" t="str">
        <f>IF('Lighting Savings'!AA40="None","None", DOLLAR('Lighting Savings'!Z40)&amp;" "&amp;'Lighting Savings'!AA40)</f>
        <v>None</v>
      </c>
      <c r="P30" s="228" t="str">
        <f>'Lighting Savings'!AG40</f>
        <v/>
      </c>
      <c r="Q30" s="226" t="str">
        <f>'Lighting Savings'!AH40</f>
        <v/>
      </c>
      <c r="R30" s="227" t="str">
        <f>'Lighting Savings'!AI40</f>
        <v/>
      </c>
      <c r="S30" s="227">
        <f>IF('Lighting Savings'!AK40="","",'Lighting Savings'!AK40)</f>
        <v>0</v>
      </c>
      <c r="T30" s="269" t="str">
        <f>'Lighting Savings'!AO40</f>
        <v/>
      </c>
    </row>
    <row r="31" spans="1:20" s="235" customFormat="1" x14ac:dyDescent="0.25">
      <c r="A31" s="224">
        <f>'Lighting Savings'!B41</f>
        <v>22</v>
      </c>
      <c r="B31" s="225" t="str">
        <f>IF('Lighting Savings'!C41="","",'Lighting Savings'!C41)</f>
        <v/>
      </c>
      <c r="C31" s="225" t="str">
        <f>IF('Lighting Savings'!E41="","",'Lighting Savings'!E41)</f>
        <v/>
      </c>
      <c r="D31" s="226" t="str">
        <f>IF('Lighting Savings'!E41="","",IF(OR('Lighting Savings'!G41&gt;0,'Lighting Savings'!F41="Enter Watts"),'Lighting Savings'!G41,'Lighting Savings'!F41))</f>
        <v/>
      </c>
      <c r="E31" s="226" t="str">
        <f>IF('Lighting Savings'!I41="","",'Lighting Savings'!I41)</f>
        <v/>
      </c>
      <c r="F31" s="226" t="str">
        <f>IF('Lighting Savings'!J41="","",'Lighting Savings'!J41)</f>
        <v/>
      </c>
      <c r="G31" s="225" t="str">
        <f>IF('Lighting Savings'!L41="","",'Lighting Savings'!L41)</f>
        <v/>
      </c>
      <c r="H31" s="225" t="str">
        <f>IF(G31="","",'Lighting Savings'!M41)</f>
        <v/>
      </c>
      <c r="I31" s="226" t="str">
        <f>IF('Lighting Savings'!L41="","",IF(OR('Lighting Savings'!O41&gt;0,'Lighting Savings'!N41="Enter Watts"),'Lighting Savings'!O41,'Lighting Savings'!N41))</f>
        <v/>
      </c>
      <c r="J31" s="226" t="str">
        <f>IF('Lighting Savings'!Q41="","",'Lighting Savings'!Q41)</f>
        <v/>
      </c>
      <c r="K31" s="227" t="str">
        <f>IF('Lighting Savings'!S41="","",'Lighting Savings'!S41)</f>
        <v/>
      </c>
      <c r="L31" s="227" t="str">
        <f>IF('Lighting Savings'!V41="","",'Lighting Savings'!V41)</f>
        <v/>
      </c>
      <c r="M31" s="225" t="str">
        <f>IF('Lighting Savings'!W41="","",'Lighting Savings'!W41)</f>
        <v/>
      </c>
      <c r="N31" s="227" t="str">
        <f>IF('Lighting Savings'!X41&lt;&gt;"", DOLLAR('Lighting Savings'!X41)&amp;" "&amp;'Lighting Savings'!Y41,"")</f>
        <v/>
      </c>
      <c r="O31" s="225" t="str">
        <f>IF('Lighting Savings'!AA41="None","None", DOLLAR('Lighting Savings'!Z41)&amp;" "&amp;'Lighting Savings'!AA41)</f>
        <v>None</v>
      </c>
      <c r="P31" s="228" t="str">
        <f>'Lighting Savings'!AG41</f>
        <v/>
      </c>
      <c r="Q31" s="226" t="str">
        <f>'Lighting Savings'!AH41</f>
        <v/>
      </c>
      <c r="R31" s="227" t="str">
        <f>'Lighting Savings'!AI41</f>
        <v/>
      </c>
      <c r="S31" s="227">
        <f>IF('Lighting Savings'!AK41="","",'Lighting Savings'!AK41)</f>
        <v>0</v>
      </c>
      <c r="T31" s="269" t="str">
        <f>'Lighting Savings'!AO41</f>
        <v/>
      </c>
    </row>
    <row r="32" spans="1:20" s="235" customFormat="1" x14ac:dyDescent="0.25">
      <c r="A32" s="224">
        <f>'Lighting Savings'!B42</f>
        <v>23</v>
      </c>
      <c r="B32" s="225" t="str">
        <f>IF('Lighting Savings'!C42="","",'Lighting Savings'!C42)</f>
        <v/>
      </c>
      <c r="C32" s="225" t="str">
        <f>IF('Lighting Savings'!E42="","",'Lighting Savings'!E42)</f>
        <v/>
      </c>
      <c r="D32" s="226" t="str">
        <f>IF('Lighting Savings'!E42="","",IF(OR('Lighting Savings'!G42&gt;0,'Lighting Savings'!F42="Enter Watts"),'Lighting Savings'!G42,'Lighting Savings'!F42))</f>
        <v/>
      </c>
      <c r="E32" s="226" t="str">
        <f>IF('Lighting Savings'!I42="","",'Lighting Savings'!I42)</f>
        <v/>
      </c>
      <c r="F32" s="226" t="str">
        <f>IF('Lighting Savings'!J42="","",'Lighting Savings'!J42)</f>
        <v/>
      </c>
      <c r="G32" s="225" t="str">
        <f>IF('Lighting Savings'!L42="","",'Lighting Savings'!L42)</f>
        <v/>
      </c>
      <c r="H32" s="225" t="str">
        <f>IF(G32="","",'Lighting Savings'!M42)</f>
        <v/>
      </c>
      <c r="I32" s="226" t="str">
        <f>IF('Lighting Savings'!L42="","",IF(OR('Lighting Savings'!O42&gt;0,'Lighting Savings'!N42="Enter Watts"),'Lighting Savings'!O42,'Lighting Savings'!N42))</f>
        <v/>
      </c>
      <c r="J32" s="226" t="str">
        <f>IF('Lighting Savings'!Q42="","",'Lighting Savings'!Q42)</f>
        <v/>
      </c>
      <c r="K32" s="227" t="str">
        <f>IF('Lighting Savings'!S42="","",'Lighting Savings'!S42)</f>
        <v/>
      </c>
      <c r="L32" s="227" t="str">
        <f>IF('Lighting Savings'!V42="","",'Lighting Savings'!V42)</f>
        <v/>
      </c>
      <c r="M32" s="225" t="str">
        <f>IF('Lighting Savings'!W42="","",'Lighting Savings'!W42)</f>
        <v/>
      </c>
      <c r="N32" s="227" t="str">
        <f>IF('Lighting Savings'!X42&lt;&gt;"", DOLLAR('Lighting Savings'!X42)&amp;" "&amp;'Lighting Savings'!Y42,"")</f>
        <v/>
      </c>
      <c r="O32" s="225" t="str">
        <f>IF('Lighting Savings'!AA42="None","None", DOLLAR('Lighting Savings'!Z42)&amp;" "&amp;'Lighting Savings'!AA42)</f>
        <v>None</v>
      </c>
      <c r="P32" s="228" t="str">
        <f>'Lighting Savings'!AG42</f>
        <v/>
      </c>
      <c r="Q32" s="226" t="str">
        <f>'Lighting Savings'!AH42</f>
        <v/>
      </c>
      <c r="R32" s="227" t="str">
        <f>'Lighting Savings'!AI42</f>
        <v/>
      </c>
      <c r="S32" s="227">
        <f>IF('Lighting Savings'!AK42="","",'Lighting Savings'!AK42)</f>
        <v>0</v>
      </c>
      <c r="T32" s="269" t="str">
        <f>'Lighting Savings'!AO42</f>
        <v/>
      </c>
    </row>
    <row r="33" spans="1:20" s="235" customFormat="1" x14ac:dyDescent="0.25">
      <c r="A33" s="224">
        <f>'Lighting Savings'!B43</f>
        <v>24</v>
      </c>
      <c r="B33" s="225" t="str">
        <f>IF('Lighting Savings'!C43="","",'Lighting Savings'!C43)</f>
        <v/>
      </c>
      <c r="C33" s="225" t="str">
        <f>IF('Lighting Savings'!E43="","",'Lighting Savings'!E43)</f>
        <v/>
      </c>
      <c r="D33" s="226" t="str">
        <f>IF('Lighting Savings'!E43="","",IF(OR('Lighting Savings'!G43&gt;0,'Lighting Savings'!F43="Enter Watts"),'Lighting Savings'!G43,'Lighting Savings'!F43))</f>
        <v/>
      </c>
      <c r="E33" s="226" t="str">
        <f>IF('Lighting Savings'!I43="","",'Lighting Savings'!I43)</f>
        <v/>
      </c>
      <c r="F33" s="226" t="str">
        <f>IF('Lighting Savings'!J43="","",'Lighting Savings'!J43)</f>
        <v/>
      </c>
      <c r="G33" s="225" t="str">
        <f>IF('Lighting Savings'!L43="","",'Lighting Savings'!L43)</f>
        <v/>
      </c>
      <c r="H33" s="225" t="str">
        <f>IF(G33="","",'Lighting Savings'!M43)</f>
        <v/>
      </c>
      <c r="I33" s="226" t="str">
        <f>IF('Lighting Savings'!L43="","",IF(OR('Lighting Savings'!O43&gt;0,'Lighting Savings'!N43="Enter Watts"),'Lighting Savings'!O43,'Lighting Savings'!N43))</f>
        <v/>
      </c>
      <c r="J33" s="226" t="str">
        <f>IF('Lighting Savings'!Q43="","",'Lighting Savings'!Q43)</f>
        <v/>
      </c>
      <c r="K33" s="227" t="str">
        <f>IF('Lighting Savings'!S43="","",'Lighting Savings'!S43)</f>
        <v/>
      </c>
      <c r="L33" s="227" t="str">
        <f>IF('Lighting Savings'!V43="","",'Lighting Savings'!V43)</f>
        <v/>
      </c>
      <c r="M33" s="225" t="str">
        <f>IF('Lighting Savings'!W43="","",'Lighting Savings'!W43)</f>
        <v/>
      </c>
      <c r="N33" s="227" t="str">
        <f>IF('Lighting Savings'!X43&lt;&gt;"", DOLLAR('Lighting Savings'!X43)&amp;" "&amp;'Lighting Savings'!Y43,"")</f>
        <v/>
      </c>
      <c r="O33" s="225" t="str">
        <f>IF('Lighting Savings'!AA43="None","None", DOLLAR('Lighting Savings'!Z43)&amp;" "&amp;'Lighting Savings'!AA43)</f>
        <v>None</v>
      </c>
      <c r="P33" s="228" t="str">
        <f>'Lighting Savings'!AG43</f>
        <v/>
      </c>
      <c r="Q33" s="226" t="str">
        <f>'Lighting Savings'!AH43</f>
        <v/>
      </c>
      <c r="R33" s="227" t="str">
        <f>'Lighting Savings'!AI43</f>
        <v/>
      </c>
      <c r="S33" s="227">
        <f>IF('Lighting Savings'!AK43="","",'Lighting Savings'!AK43)</f>
        <v>0</v>
      </c>
      <c r="T33" s="269" t="str">
        <f>'Lighting Savings'!AO43</f>
        <v/>
      </c>
    </row>
    <row r="34" spans="1:20" s="235" customFormat="1" x14ac:dyDescent="0.25">
      <c r="A34" s="224">
        <f>'Lighting Savings'!B44</f>
        <v>25</v>
      </c>
      <c r="B34" s="225" t="str">
        <f>IF('Lighting Savings'!C44="","",'Lighting Savings'!C44)</f>
        <v/>
      </c>
      <c r="C34" s="225" t="str">
        <f>IF('Lighting Savings'!E44="","",'Lighting Savings'!E44)</f>
        <v/>
      </c>
      <c r="D34" s="226" t="str">
        <f>IF('Lighting Savings'!E44="","",IF(OR('Lighting Savings'!G44&gt;0,'Lighting Savings'!F44="Enter Watts"),'Lighting Savings'!G44,'Lighting Savings'!F44))</f>
        <v/>
      </c>
      <c r="E34" s="226" t="str">
        <f>IF('Lighting Savings'!I44="","",'Lighting Savings'!I44)</f>
        <v/>
      </c>
      <c r="F34" s="226" t="str">
        <f>IF('Lighting Savings'!J44="","",'Lighting Savings'!J44)</f>
        <v/>
      </c>
      <c r="G34" s="225" t="str">
        <f>IF('Lighting Savings'!L44="","",'Lighting Savings'!L44)</f>
        <v/>
      </c>
      <c r="H34" s="225" t="str">
        <f>IF(G34="","",'Lighting Savings'!M44)</f>
        <v/>
      </c>
      <c r="I34" s="226" t="str">
        <f>IF('Lighting Savings'!L44="","",IF(OR('Lighting Savings'!O44&gt;0,'Lighting Savings'!N44="Enter Watts"),'Lighting Savings'!O44,'Lighting Savings'!N44))</f>
        <v/>
      </c>
      <c r="J34" s="226" t="str">
        <f>IF('Lighting Savings'!Q44="","",'Lighting Savings'!Q44)</f>
        <v/>
      </c>
      <c r="K34" s="227" t="str">
        <f>IF('Lighting Savings'!S44="","",'Lighting Savings'!S44)</f>
        <v/>
      </c>
      <c r="L34" s="227" t="str">
        <f>IF('Lighting Savings'!V44="","",'Lighting Savings'!V44)</f>
        <v/>
      </c>
      <c r="M34" s="225" t="str">
        <f>IF('Lighting Savings'!W44="","",'Lighting Savings'!W44)</f>
        <v/>
      </c>
      <c r="N34" s="227" t="str">
        <f>IF('Lighting Savings'!X44&lt;&gt;"", DOLLAR('Lighting Savings'!X44)&amp;" "&amp;'Lighting Savings'!Y44,"")</f>
        <v/>
      </c>
      <c r="O34" s="225" t="str">
        <f>IF('Lighting Savings'!AA44="None","None", DOLLAR('Lighting Savings'!Z44)&amp;" "&amp;'Lighting Savings'!AA44)</f>
        <v>None</v>
      </c>
      <c r="P34" s="228" t="str">
        <f>'Lighting Savings'!AG44</f>
        <v/>
      </c>
      <c r="Q34" s="226" t="str">
        <f>'Lighting Savings'!AH44</f>
        <v/>
      </c>
      <c r="R34" s="227" t="str">
        <f>'Lighting Savings'!AI44</f>
        <v/>
      </c>
      <c r="S34" s="227">
        <f>IF('Lighting Savings'!AK44="","",'Lighting Savings'!AK44)</f>
        <v>0</v>
      </c>
      <c r="T34" s="269" t="str">
        <f>'Lighting Savings'!AO44</f>
        <v/>
      </c>
    </row>
    <row r="35" spans="1:20" s="235" customFormat="1" x14ac:dyDescent="0.25">
      <c r="A35" s="224">
        <f>'Lighting Savings'!B45</f>
        <v>26</v>
      </c>
      <c r="B35" s="225" t="str">
        <f>IF('Lighting Savings'!C45="","",'Lighting Savings'!C45)</f>
        <v/>
      </c>
      <c r="C35" s="225" t="str">
        <f>IF('Lighting Savings'!E45="","",'Lighting Savings'!E45)</f>
        <v/>
      </c>
      <c r="D35" s="226" t="str">
        <f>IF('Lighting Savings'!E45="","",IF(OR('Lighting Savings'!G45&gt;0,'Lighting Savings'!F45="Enter Watts"),'Lighting Savings'!G45,'Lighting Savings'!F45))</f>
        <v/>
      </c>
      <c r="E35" s="226" t="str">
        <f>IF('Lighting Savings'!I45="","",'Lighting Savings'!I45)</f>
        <v/>
      </c>
      <c r="F35" s="226" t="str">
        <f>IF('Lighting Savings'!J45="","",'Lighting Savings'!J45)</f>
        <v/>
      </c>
      <c r="G35" s="225" t="str">
        <f>IF('Lighting Savings'!L45="","",'Lighting Savings'!L45)</f>
        <v/>
      </c>
      <c r="H35" s="225" t="str">
        <f>IF(G35="","",'Lighting Savings'!M45)</f>
        <v/>
      </c>
      <c r="I35" s="226" t="str">
        <f>IF('Lighting Savings'!L45="","",IF(OR('Lighting Savings'!O45&gt;0,'Lighting Savings'!N45="Enter Watts"),'Lighting Savings'!O45,'Lighting Savings'!N45))</f>
        <v/>
      </c>
      <c r="J35" s="226" t="str">
        <f>IF('Lighting Savings'!Q45="","",'Lighting Savings'!Q45)</f>
        <v/>
      </c>
      <c r="K35" s="227" t="str">
        <f>IF('Lighting Savings'!S45="","",'Lighting Savings'!S45)</f>
        <v/>
      </c>
      <c r="L35" s="227" t="str">
        <f>IF('Lighting Savings'!V45="","",'Lighting Savings'!V45)</f>
        <v/>
      </c>
      <c r="M35" s="225" t="str">
        <f>IF('Lighting Savings'!W45="","",'Lighting Savings'!W45)</f>
        <v/>
      </c>
      <c r="N35" s="227" t="str">
        <f>IF('Lighting Savings'!X45&lt;&gt;"", DOLLAR('Lighting Savings'!X45)&amp;" "&amp;'Lighting Savings'!Y45,"")</f>
        <v/>
      </c>
      <c r="O35" s="225" t="str">
        <f>IF('Lighting Savings'!AA45="None","None", DOLLAR('Lighting Savings'!Z45)&amp;" "&amp;'Lighting Savings'!AA45)</f>
        <v>None</v>
      </c>
      <c r="P35" s="228" t="str">
        <f>'Lighting Savings'!AG45</f>
        <v/>
      </c>
      <c r="Q35" s="226" t="str">
        <f>'Lighting Savings'!AH45</f>
        <v/>
      </c>
      <c r="R35" s="227" t="str">
        <f>'Lighting Savings'!AI45</f>
        <v/>
      </c>
      <c r="S35" s="227">
        <f>IF('Lighting Savings'!AK45="","",'Lighting Savings'!AK45)</f>
        <v>0</v>
      </c>
      <c r="T35" s="269" t="str">
        <f>'Lighting Savings'!AO45</f>
        <v/>
      </c>
    </row>
    <row r="36" spans="1:20" s="235" customFormat="1" x14ac:dyDescent="0.25">
      <c r="A36" s="224">
        <f>'Lighting Savings'!B46</f>
        <v>27</v>
      </c>
      <c r="B36" s="225" t="str">
        <f>IF('Lighting Savings'!C46="","",'Lighting Savings'!C46)</f>
        <v/>
      </c>
      <c r="C36" s="225" t="str">
        <f>IF('Lighting Savings'!E46="","",'Lighting Savings'!E46)</f>
        <v/>
      </c>
      <c r="D36" s="226" t="str">
        <f>IF('Lighting Savings'!E46="","",IF(OR('Lighting Savings'!G46&gt;0,'Lighting Savings'!F46="Enter Watts"),'Lighting Savings'!G46,'Lighting Savings'!F46))</f>
        <v/>
      </c>
      <c r="E36" s="226" t="str">
        <f>IF('Lighting Savings'!I46="","",'Lighting Savings'!I46)</f>
        <v/>
      </c>
      <c r="F36" s="226" t="str">
        <f>IF('Lighting Savings'!J46="","",'Lighting Savings'!J46)</f>
        <v/>
      </c>
      <c r="G36" s="225" t="str">
        <f>IF('Lighting Savings'!L46="","",'Lighting Savings'!L46)</f>
        <v/>
      </c>
      <c r="H36" s="225" t="str">
        <f>IF(G36="","",'Lighting Savings'!M46)</f>
        <v/>
      </c>
      <c r="I36" s="226" t="str">
        <f>IF('Lighting Savings'!L46="","",IF(OR('Lighting Savings'!O46&gt;0,'Lighting Savings'!N46="Enter Watts"),'Lighting Savings'!O46,'Lighting Savings'!N46))</f>
        <v/>
      </c>
      <c r="J36" s="226" t="str">
        <f>IF('Lighting Savings'!Q46="","",'Lighting Savings'!Q46)</f>
        <v/>
      </c>
      <c r="K36" s="227" t="str">
        <f>IF('Lighting Savings'!S46="","",'Lighting Savings'!S46)</f>
        <v/>
      </c>
      <c r="L36" s="227" t="str">
        <f>IF('Lighting Savings'!V46="","",'Lighting Savings'!V46)</f>
        <v/>
      </c>
      <c r="M36" s="225" t="str">
        <f>IF('Lighting Savings'!W46="","",'Lighting Savings'!W46)</f>
        <v/>
      </c>
      <c r="N36" s="227" t="str">
        <f>IF('Lighting Savings'!X46&lt;&gt;"", DOLLAR('Lighting Savings'!X46)&amp;" "&amp;'Lighting Savings'!Y46,"")</f>
        <v/>
      </c>
      <c r="O36" s="225" t="str">
        <f>IF('Lighting Savings'!AA46="None","None", DOLLAR('Lighting Savings'!Z46)&amp;" "&amp;'Lighting Savings'!AA46)</f>
        <v>None</v>
      </c>
      <c r="P36" s="228" t="str">
        <f>'Lighting Savings'!AG46</f>
        <v/>
      </c>
      <c r="Q36" s="226" t="str">
        <f>'Lighting Savings'!AH46</f>
        <v/>
      </c>
      <c r="R36" s="227" t="str">
        <f>'Lighting Savings'!AI46</f>
        <v/>
      </c>
      <c r="S36" s="227">
        <f>IF('Lighting Savings'!AK46="","",'Lighting Savings'!AK46)</f>
        <v>0</v>
      </c>
      <c r="T36" s="269" t="str">
        <f>'Lighting Savings'!AO46</f>
        <v/>
      </c>
    </row>
    <row r="37" spans="1:20" s="235" customFormat="1" x14ac:dyDescent="0.25">
      <c r="A37" s="224">
        <f>'Lighting Savings'!B47</f>
        <v>28</v>
      </c>
      <c r="B37" s="225" t="str">
        <f>IF('Lighting Savings'!C47="","",'Lighting Savings'!C47)</f>
        <v/>
      </c>
      <c r="C37" s="225" t="str">
        <f>IF('Lighting Savings'!E47="","",'Lighting Savings'!E47)</f>
        <v/>
      </c>
      <c r="D37" s="226" t="str">
        <f>IF('Lighting Savings'!E47="","",IF(OR('Lighting Savings'!G47&gt;0,'Lighting Savings'!F47="Enter Watts"),'Lighting Savings'!G47,'Lighting Savings'!F47))</f>
        <v/>
      </c>
      <c r="E37" s="226" t="str">
        <f>IF('Lighting Savings'!I47="","",'Lighting Savings'!I47)</f>
        <v/>
      </c>
      <c r="F37" s="226" t="str">
        <f>IF('Lighting Savings'!J47="","",'Lighting Savings'!J47)</f>
        <v/>
      </c>
      <c r="G37" s="225" t="str">
        <f>IF('Lighting Savings'!L47="","",'Lighting Savings'!L47)</f>
        <v/>
      </c>
      <c r="H37" s="225" t="str">
        <f>IF(G37="","",'Lighting Savings'!M47)</f>
        <v/>
      </c>
      <c r="I37" s="226" t="str">
        <f>IF('Lighting Savings'!L47="","",IF(OR('Lighting Savings'!O47&gt;0,'Lighting Savings'!N47="Enter Watts"),'Lighting Savings'!O47,'Lighting Savings'!N47))</f>
        <v/>
      </c>
      <c r="J37" s="226" t="str">
        <f>IF('Lighting Savings'!Q47="","",'Lighting Savings'!Q47)</f>
        <v/>
      </c>
      <c r="K37" s="227" t="str">
        <f>IF('Lighting Savings'!S47="","",'Lighting Savings'!S47)</f>
        <v/>
      </c>
      <c r="L37" s="227" t="str">
        <f>IF('Lighting Savings'!V47="","",'Lighting Savings'!V47)</f>
        <v/>
      </c>
      <c r="M37" s="225" t="str">
        <f>IF('Lighting Savings'!W47="","",'Lighting Savings'!W47)</f>
        <v/>
      </c>
      <c r="N37" s="227" t="str">
        <f>IF('Lighting Savings'!X47&lt;&gt;"", DOLLAR('Lighting Savings'!X47)&amp;" "&amp;'Lighting Savings'!Y47,"")</f>
        <v/>
      </c>
      <c r="O37" s="225" t="str">
        <f>IF('Lighting Savings'!AA47="None","None", DOLLAR('Lighting Savings'!Z47)&amp;" "&amp;'Lighting Savings'!AA47)</f>
        <v>None</v>
      </c>
      <c r="P37" s="228" t="str">
        <f>'Lighting Savings'!AG47</f>
        <v/>
      </c>
      <c r="Q37" s="226" t="str">
        <f>'Lighting Savings'!AH47</f>
        <v/>
      </c>
      <c r="R37" s="227" t="str">
        <f>'Lighting Savings'!AI47</f>
        <v/>
      </c>
      <c r="S37" s="227">
        <f>IF('Lighting Savings'!AK47="","",'Lighting Savings'!AK47)</f>
        <v>0</v>
      </c>
      <c r="T37" s="269" t="str">
        <f>'Lighting Savings'!AO47</f>
        <v/>
      </c>
    </row>
    <row r="38" spans="1:20" s="235" customFormat="1" x14ac:dyDescent="0.25">
      <c r="A38" s="224">
        <f>'Lighting Savings'!B48</f>
        <v>29</v>
      </c>
      <c r="B38" s="225" t="str">
        <f>IF('Lighting Savings'!C48="","",'Lighting Savings'!C48)</f>
        <v/>
      </c>
      <c r="C38" s="225" t="str">
        <f>IF('Lighting Savings'!E48="","",'Lighting Savings'!E48)</f>
        <v/>
      </c>
      <c r="D38" s="226" t="str">
        <f>IF('Lighting Savings'!E48="","",IF(OR('Lighting Savings'!G48&gt;0,'Lighting Savings'!F48="Enter Watts"),'Lighting Savings'!G48,'Lighting Savings'!F48))</f>
        <v/>
      </c>
      <c r="E38" s="226" t="str">
        <f>IF('Lighting Savings'!I48="","",'Lighting Savings'!I48)</f>
        <v/>
      </c>
      <c r="F38" s="226" t="str">
        <f>IF('Lighting Savings'!J48="","",'Lighting Savings'!J48)</f>
        <v/>
      </c>
      <c r="G38" s="225" t="str">
        <f>IF('Lighting Savings'!L48="","",'Lighting Savings'!L48)</f>
        <v/>
      </c>
      <c r="H38" s="225" t="str">
        <f>IF(G38="","",'Lighting Savings'!M48)</f>
        <v/>
      </c>
      <c r="I38" s="226" t="str">
        <f>IF('Lighting Savings'!L48="","",IF(OR('Lighting Savings'!O48&gt;0,'Lighting Savings'!N48="Enter Watts"),'Lighting Savings'!O48,'Lighting Savings'!N48))</f>
        <v/>
      </c>
      <c r="J38" s="226" t="str">
        <f>IF('Lighting Savings'!Q48="","",'Lighting Savings'!Q48)</f>
        <v/>
      </c>
      <c r="K38" s="227" t="str">
        <f>IF('Lighting Savings'!S48="","",'Lighting Savings'!S48)</f>
        <v/>
      </c>
      <c r="L38" s="227" t="str">
        <f>IF('Lighting Savings'!V48="","",'Lighting Savings'!V48)</f>
        <v/>
      </c>
      <c r="M38" s="225" t="str">
        <f>IF('Lighting Savings'!W48="","",'Lighting Savings'!W48)</f>
        <v/>
      </c>
      <c r="N38" s="227" t="str">
        <f>IF('Lighting Savings'!X48&lt;&gt;"", DOLLAR('Lighting Savings'!X48)&amp;" "&amp;'Lighting Savings'!Y48,"")</f>
        <v/>
      </c>
      <c r="O38" s="225" t="str">
        <f>IF('Lighting Savings'!AA48="None","None", DOLLAR('Lighting Savings'!Z48)&amp;" "&amp;'Lighting Savings'!AA48)</f>
        <v>None</v>
      </c>
      <c r="P38" s="228" t="str">
        <f>'Lighting Savings'!AG48</f>
        <v/>
      </c>
      <c r="Q38" s="226" t="str">
        <f>'Lighting Savings'!AH48</f>
        <v/>
      </c>
      <c r="R38" s="227" t="str">
        <f>'Lighting Savings'!AI48</f>
        <v/>
      </c>
      <c r="S38" s="227">
        <f>IF('Lighting Savings'!AK48="","",'Lighting Savings'!AK48)</f>
        <v>0</v>
      </c>
      <c r="T38" s="269" t="str">
        <f>'Lighting Savings'!AO48</f>
        <v/>
      </c>
    </row>
    <row r="39" spans="1:20" s="235" customFormat="1" x14ac:dyDescent="0.25">
      <c r="A39" s="224">
        <f>'Lighting Savings'!B49</f>
        <v>30</v>
      </c>
      <c r="B39" s="225" t="str">
        <f>IF('Lighting Savings'!C49="","",'Lighting Savings'!C49)</f>
        <v/>
      </c>
      <c r="C39" s="225" t="str">
        <f>IF('Lighting Savings'!E49="","",'Lighting Savings'!E49)</f>
        <v/>
      </c>
      <c r="D39" s="226" t="str">
        <f>IF('Lighting Savings'!E49="","",IF(OR('Lighting Savings'!G49&gt;0,'Lighting Savings'!F49="Enter Watts"),'Lighting Savings'!G49,'Lighting Savings'!F49))</f>
        <v/>
      </c>
      <c r="E39" s="226" t="str">
        <f>IF('Lighting Savings'!I49="","",'Lighting Savings'!I49)</f>
        <v/>
      </c>
      <c r="F39" s="226" t="str">
        <f>IF('Lighting Savings'!J49="","",'Lighting Savings'!J49)</f>
        <v/>
      </c>
      <c r="G39" s="225" t="str">
        <f>IF('Lighting Savings'!L49="","",'Lighting Savings'!L49)</f>
        <v/>
      </c>
      <c r="H39" s="225" t="str">
        <f>IF(G39="","",'Lighting Savings'!M49)</f>
        <v/>
      </c>
      <c r="I39" s="226" t="str">
        <f>IF('Lighting Savings'!L49="","",IF(OR('Lighting Savings'!O49&gt;0,'Lighting Savings'!N49="Enter Watts"),'Lighting Savings'!O49,'Lighting Savings'!N49))</f>
        <v/>
      </c>
      <c r="J39" s="226" t="str">
        <f>IF('Lighting Savings'!Q49="","",'Lighting Savings'!Q49)</f>
        <v/>
      </c>
      <c r="K39" s="227" t="str">
        <f>IF('Lighting Savings'!S49="","",'Lighting Savings'!S49)</f>
        <v/>
      </c>
      <c r="L39" s="227" t="str">
        <f>IF('Lighting Savings'!V49="","",'Lighting Savings'!V49)</f>
        <v/>
      </c>
      <c r="M39" s="225" t="str">
        <f>IF('Lighting Savings'!W49="","",'Lighting Savings'!W49)</f>
        <v/>
      </c>
      <c r="N39" s="227" t="str">
        <f>IF('Lighting Savings'!X49&lt;&gt;"", DOLLAR('Lighting Savings'!X49)&amp;" "&amp;'Lighting Savings'!Y49,"")</f>
        <v/>
      </c>
      <c r="O39" s="225" t="str">
        <f>IF('Lighting Savings'!AA49="None","None", DOLLAR('Lighting Savings'!Z49)&amp;" "&amp;'Lighting Savings'!AA49)</f>
        <v>None</v>
      </c>
      <c r="P39" s="228" t="str">
        <f>'Lighting Savings'!AG49</f>
        <v/>
      </c>
      <c r="Q39" s="226" t="str">
        <f>'Lighting Savings'!AH49</f>
        <v/>
      </c>
      <c r="R39" s="227" t="str">
        <f>'Lighting Savings'!AI49</f>
        <v/>
      </c>
      <c r="S39" s="227">
        <f>IF('Lighting Savings'!AK49="","",'Lighting Savings'!AK49)</f>
        <v>0</v>
      </c>
      <c r="T39" s="269" t="str">
        <f>'Lighting Savings'!AO49</f>
        <v/>
      </c>
    </row>
    <row r="40" spans="1:20" s="235" customFormat="1" x14ac:dyDescent="0.25">
      <c r="A40" s="224">
        <f>'Lighting Savings'!B50</f>
        <v>31</v>
      </c>
      <c r="B40" s="225" t="str">
        <f>IF('Lighting Savings'!C50="","",'Lighting Savings'!C50)</f>
        <v/>
      </c>
      <c r="C40" s="225" t="str">
        <f>IF('Lighting Savings'!E50="","",'Lighting Savings'!E50)</f>
        <v/>
      </c>
      <c r="D40" s="226" t="str">
        <f>IF('Lighting Savings'!E50="","",IF(OR('Lighting Savings'!G50&gt;0,'Lighting Savings'!F50="Enter Watts"),'Lighting Savings'!G50,'Lighting Savings'!F50))</f>
        <v/>
      </c>
      <c r="E40" s="226" t="str">
        <f>IF('Lighting Savings'!I50="","",'Lighting Savings'!I50)</f>
        <v/>
      </c>
      <c r="F40" s="226" t="str">
        <f>IF('Lighting Savings'!J50="","",'Lighting Savings'!J50)</f>
        <v/>
      </c>
      <c r="G40" s="225" t="str">
        <f>IF('Lighting Savings'!L50="","",'Lighting Savings'!L50)</f>
        <v/>
      </c>
      <c r="H40" s="225" t="str">
        <f>IF(G40="","",'Lighting Savings'!M50)</f>
        <v/>
      </c>
      <c r="I40" s="226" t="str">
        <f>IF('Lighting Savings'!L50="","",IF(OR('Lighting Savings'!O50&gt;0,'Lighting Savings'!N50="Enter Watts"),'Lighting Savings'!O50,'Lighting Savings'!N50))</f>
        <v/>
      </c>
      <c r="J40" s="226" t="str">
        <f>IF('Lighting Savings'!Q50="","",'Lighting Savings'!Q50)</f>
        <v/>
      </c>
      <c r="K40" s="227" t="str">
        <f>IF('Lighting Savings'!S50="","",'Lighting Savings'!S50)</f>
        <v/>
      </c>
      <c r="L40" s="227" t="str">
        <f>IF('Lighting Savings'!V50="","",'Lighting Savings'!V50)</f>
        <v/>
      </c>
      <c r="M40" s="225" t="str">
        <f>IF('Lighting Savings'!W50="","",'Lighting Savings'!W50)</f>
        <v/>
      </c>
      <c r="N40" s="227" t="str">
        <f>IF('Lighting Savings'!X50&lt;&gt;"", DOLLAR('Lighting Savings'!X50)&amp;" "&amp;'Lighting Savings'!Y50,"")</f>
        <v/>
      </c>
      <c r="O40" s="225" t="str">
        <f>IF('Lighting Savings'!AA50="None","None", DOLLAR('Lighting Savings'!Z50)&amp;" "&amp;'Lighting Savings'!AA50)</f>
        <v>None</v>
      </c>
      <c r="P40" s="228" t="str">
        <f>'Lighting Savings'!AG50</f>
        <v/>
      </c>
      <c r="Q40" s="226" t="str">
        <f>'Lighting Savings'!AH50</f>
        <v/>
      </c>
      <c r="R40" s="227" t="str">
        <f>'Lighting Savings'!AI50</f>
        <v/>
      </c>
      <c r="S40" s="227">
        <f>IF('Lighting Savings'!AK50="","",'Lighting Savings'!AK50)</f>
        <v>0</v>
      </c>
      <c r="T40" s="269" t="str">
        <f>'Lighting Savings'!AO50</f>
        <v/>
      </c>
    </row>
    <row r="41" spans="1:20" s="235" customFormat="1" x14ac:dyDescent="0.25">
      <c r="A41" s="224">
        <f>'Lighting Savings'!B51</f>
        <v>32</v>
      </c>
      <c r="B41" s="225" t="str">
        <f>IF('Lighting Savings'!C51="","",'Lighting Savings'!C51)</f>
        <v/>
      </c>
      <c r="C41" s="225" t="str">
        <f>IF('Lighting Savings'!E51="","",'Lighting Savings'!E51)</f>
        <v/>
      </c>
      <c r="D41" s="226" t="str">
        <f>IF('Lighting Savings'!E51="","",IF(OR('Lighting Savings'!G51&gt;0,'Lighting Savings'!F51="Enter Watts"),'Lighting Savings'!G51,'Lighting Savings'!F51))</f>
        <v/>
      </c>
      <c r="E41" s="226" t="str">
        <f>IF('Lighting Savings'!I51="","",'Lighting Savings'!I51)</f>
        <v/>
      </c>
      <c r="F41" s="226" t="str">
        <f>IF('Lighting Savings'!J51="","",'Lighting Savings'!J51)</f>
        <v/>
      </c>
      <c r="G41" s="225" t="str">
        <f>IF('Lighting Savings'!L51="","",'Lighting Savings'!L51)</f>
        <v/>
      </c>
      <c r="H41" s="225" t="str">
        <f>IF(G41="","",'Lighting Savings'!M51)</f>
        <v/>
      </c>
      <c r="I41" s="226" t="str">
        <f>IF('Lighting Savings'!L51="","",IF(OR('Lighting Savings'!O51&gt;0,'Lighting Savings'!N51="Enter Watts"),'Lighting Savings'!O51,'Lighting Savings'!N51))</f>
        <v/>
      </c>
      <c r="J41" s="226" t="str">
        <f>IF('Lighting Savings'!Q51="","",'Lighting Savings'!Q51)</f>
        <v/>
      </c>
      <c r="K41" s="227" t="str">
        <f>IF('Lighting Savings'!S51="","",'Lighting Savings'!S51)</f>
        <v/>
      </c>
      <c r="L41" s="227" t="str">
        <f>IF('Lighting Savings'!V51="","",'Lighting Savings'!V51)</f>
        <v/>
      </c>
      <c r="M41" s="225" t="str">
        <f>IF('Lighting Savings'!W51="","",'Lighting Savings'!W51)</f>
        <v/>
      </c>
      <c r="N41" s="227" t="str">
        <f>IF('Lighting Savings'!X51&lt;&gt;"", DOLLAR('Lighting Savings'!X51)&amp;" "&amp;'Lighting Savings'!Y51,"")</f>
        <v/>
      </c>
      <c r="O41" s="225" t="str">
        <f>IF('Lighting Savings'!AA51="None","None", DOLLAR('Lighting Savings'!Z51)&amp;" "&amp;'Lighting Savings'!AA51)</f>
        <v>None</v>
      </c>
      <c r="P41" s="228" t="str">
        <f>'Lighting Savings'!AG51</f>
        <v/>
      </c>
      <c r="Q41" s="226" t="str">
        <f>'Lighting Savings'!AH51</f>
        <v/>
      </c>
      <c r="R41" s="227" t="str">
        <f>'Lighting Savings'!AI51</f>
        <v/>
      </c>
      <c r="S41" s="227">
        <f>IF('Lighting Savings'!AK51="","",'Lighting Savings'!AK51)</f>
        <v>0</v>
      </c>
      <c r="T41" s="269" t="str">
        <f>'Lighting Savings'!AO51</f>
        <v/>
      </c>
    </row>
    <row r="42" spans="1:20" s="235" customFormat="1" x14ac:dyDescent="0.25">
      <c r="A42" s="224">
        <f>'Lighting Savings'!B52</f>
        <v>33</v>
      </c>
      <c r="B42" s="225" t="str">
        <f>IF('Lighting Savings'!C52="","",'Lighting Savings'!C52)</f>
        <v/>
      </c>
      <c r="C42" s="225" t="str">
        <f>IF('Lighting Savings'!E52="","",'Lighting Savings'!E52)</f>
        <v/>
      </c>
      <c r="D42" s="226" t="str">
        <f>IF('Lighting Savings'!E52="","",IF(OR('Lighting Savings'!G52&gt;0,'Lighting Savings'!F52="Enter Watts"),'Lighting Savings'!G52,'Lighting Savings'!F52))</f>
        <v/>
      </c>
      <c r="E42" s="226" t="str">
        <f>IF('Lighting Savings'!I52="","",'Lighting Savings'!I52)</f>
        <v/>
      </c>
      <c r="F42" s="226" t="str">
        <f>IF('Lighting Savings'!J52="","",'Lighting Savings'!J52)</f>
        <v/>
      </c>
      <c r="G42" s="225" t="str">
        <f>IF('Lighting Savings'!L52="","",'Lighting Savings'!L52)</f>
        <v/>
      </c>
      <c r="H42" s="225" t="str">
        <f>IF(G42="","",'Lighting Savings'!M52)</f>
        <v/>
      </c>
      <c r="I42" s="226" t="str">
        <f>IF('Lighting Savings'!L52="","",IF(OR('Lighting Savings'!O52&gt;0,'Lighting Savings'!N52="Enter Watts"),'Lighting Savings'!O52,'Lighting Savings'!N52))</f>
        <v/>
      </c>
      <c r="J42" s="226" t="str">
        <f>IF('Lighting Savings'!Q52="","",'Lighting Savings'!Q52)</f>
        <v/>
      </c>
      <c r="K42" s="227" t="str">
        <f>IF('Lighting Savings'!S52="","",'Lighting Savings'!S52)</f>
        <v/>
      </c>
      <c r="L42" s="227" t="str">
        <f>IF('Lighting Savings'!V52="","",'Lighting Savings'!V52)</f>
        <v/>
      </c>
      <c r="M42" s="225" t="str">
        <f>IF('Lighting Savings'!W52="","",'Lighting Savings'!W52)</f>
        <v/>
      </c>
      <c r="N42" s="227" t="str">
        <f>IF('Lighting Savings'!X52&lt;&gt;"", DOLLAR('Lighting Savings'!X52)&amp;" "&amp;'Lighting Savings'!Y52,"")</f>
        <v/>
      </c>
      <c r="O42" s="225" t="str">
        <f>IF('Lighting Savings'!AA52="None","None", DOLLAR('Lighting Savings'!Z52)&amp;" "&amp;'Lighting Savings'!AA52)</f>
        <v>None</v>
      </c>
      <c r="P42" s="228" t="str">
        <f>'Lighting Savings'!AG52</f>
        <v/>
      </c>
      <c r="Q42" s="226" t="str">
        <f>'Lighting Savings'!AH52</f>
        <v/>
      </c>
      <c r="R42" s="227" t="str">
        <f>'Lighting Savings'!AI52</f>
        <v/>
      </c>
      <c r="S42" s="227">
        <f>IF('Lighting Savings'!AK52="","",'Lighting Savings'!AK52)</f>
        <v>0</v>
      </c>
      <c r="T42" s="269" t="str">
        <f>'Lighting Savings'!AO52</f>
        <v/>
      </c>
    </row>
    <row r="43" spans="1:20" s="235" customFormat="1" x14ac:dyDescent="0.25">
      <c r="A43" s="224">
        <f>'Lighting Savings'!B53</f>
        <v>34</v>
      </c>
      <c r="B43" s="225" t="str">
        <f>IF('Lighting Savings'!C53="","",'Lighting Savings'!C53)</f>
        <v/>
      </c>
      <c r="C43" s="225" t="str">
        <f>IF('Lighting Savings'!E53="","",'Lighting Savings'!E53)</f>
        <v/>
      </c>
      <c r="D43" s="226" t="str">
        <f>IF('Lighting Savings'!E53="","",IF(OR('Lighting Savings'!G53&gt;0,'Lighting Savings'!F53="Enter Watts"),'Lighting Savings'!G53,'Lighting Savings'!F53))</f>
        <v/>
      </c>
      <c r="E43" s="226" t="str">
        <f>IF('Lighting Savings'!I53="","",'Lighting Savings'!I53)</f>
        <v/>
      </c>
      <c r="F43" s="226" t="str">
        <f>IF('Lighting Savings'!J53="","",'Lighting Savings'!J53)</f>
        <v/>
      </c>
      <c r="G43" s="225" t="str">
        <f>IF('Lighting Savings'!L53="","",'Lighting Savings'!L53)</f>
        <v/>
      </c>
      <c r="H43" s="225" t="str">
        <f>IF(G43="","",'Lighting Savings'!M53)</f>
        <v/>
      </c>
      <c r="I43" s="226" t="str">
        <f>IF('Lighting Savings'!L53="","",IF(OR('Lighting Savings'!O53&gt;0,'Lighting Savings'!N53="Enter Watts"),'Lighting Savings'!O53,'Lighting Savings'!N53))</f>
        <v/>
      </c>
      <c r="J43" s="226" t="str">
        <f>IF('Lighting Savings'!Q53="","",'Lighting Savings'!Q53)</f>
        <v/>
      </c>
      <c r="K43" s="227" t="str">
        <f>IF('Lighting Savings'!S53="","",'Lighting Savings'!S53)</f>
        <v/>
      </c>
      <c r="L43" s="227" t="str">
        <f>IF('Lighting Savings'!V53="","",'Lighting Savings'!V53)</f>
        <v/>
      </c>
      <c r="M43" s="225" t="str">
        <f>IF('Lighting Savings'!W53="","",'Lighting Savings'!W53)</f>
        <v/>
      </c>
      <c r="N43" s="227" t="str">
        <f>IF('Lighting Savings'!X53&lt;&gt;"", DOLLAR('Lighting Savings'!X53)&amp;" "&amp;'Lighting Savings'!Y53,"")</f>
        <v/>
      </c>
      <c r="O43" s="225" t="str">
        <f>IF('Lighting Savings'!AA53="None","None", DOLLAR('Lighting Savings'!Z53)&amp;" "&amp;'Lighting Savings'!AA53)</f>
        <v>None</v>
      </c>
      <c r="P43" s="228" t="str">
        <f>'Lighting Savings'!AG53</f>
        <v/>
      </c>
      <c r="Q43" s="226" t="str">
        <f>'Lighting Savings'!AH53</f>
        <v/>
      </c>
      <c r="R43" s="227" t="str">
        <f>'Lighting Savings'!AI53</f>
        <v/>
      </c>
      <c r="S43" s="227">
        <f>IF('Lighting Savings'!AK53="","",'Lighting Savings'!AK53)</f>
        <v>0</v>
      </c>
      <c r="T43" s="269" t="str">
        <f>'Lighting Savings'!AO53</f>
        <v/>
      </c>
    </row>
    <row r="44" spans="1:20" s="235" customFormat="1" x14ac:dyDescent="0.25">
      <c r="A44" s="224">
        <f>'Lighting Savings'!B54</f>
        <v>35</v>
      </c>
      <c r="B44" s="225" t="str">
        <f>IF('Lighting Savings'!C54="","",'Lighting Savings'!C54)</f>
        <v/>
      </c>
      <c r="C44" s="225" t="str">
        <f>IF('Lighting Savings'!E54="","",'Lighting Savings'!E54)</f>
        <v/>
      </c>
      <c r="D44" s="226" t="str">
        <f>IF('Lighting Savings'!E54="","",IF(OR('Lighting Savings'!G54&gt;0,'Lighting Savings'!F54="Enter Watts"),'Lighting Savings'!G54,'Lighting Savings'!F54))</f>
        <v/>
      </c>
      <c r="E44" s="226" t="str">
        <f>IF('Lighting Savings'!I54="","",'Lighting Savings'!I54)</f>
        <v/>
      </c>
      <c r="F44" s="226" t="str">
        <f>IF('Lighting Savings'!J54="","",'Lighting Savings'!J54)</f>
        <v/>
      </c>
      <c r="G44" s="225" t="str">
        <f>IF('Lighting Savings'!L54="","",'Lighting Savings'!L54)</f>
        <v/>
      </c>
      <c r="H44" s="225" t="str">
        <f>IF(G44="","",'Lighting Savings'!M54)</f>
        <v/>
      </c>
      <c r="I44" s="226" t="str">
        <f>IF('Lighting Savings'!L54="","",IF(OR('Lighting Savings'!O54&gt;0,'Lighting Savings'!N54="Enter Watts"),'Lighting Savings'!O54,'Lighting Savings'!N54))</f>
        <v/>
      </c>
      <c r="J44" s="226" t="str">
        <f>IF('Lighting Savings'!Q54="","",'Lighting Savings'!Q54)</f>
        <v/>
      </c>
      <c r="K44" s="227" t="str">
        <f>IF('Lighting Savings'!S54="","",'Lighting Savings'!S54)</f>
        <v/>
      </c>
      <c r="L44" s="227" t="str">
        <f>IF('Lighting Savings'!V54="","",'Lighting Savings'!V54)</f>
        <v/>
      </c>
      <c r="M44" s="225" t="str">
        <f>IF('Lighting Savings'!W54="","",'Lighting Savings'!W54)</f>
        <v/>
      </c>
      <c r="N44" s="227" t="str">
        <f>IF('Lighting Savings'!X54&lt;&gt;"", DOLLAR('Lighting Savings'!X54)&amp;" "&amp;'Lighting Savings'!Y54,"")</f>
        <v/>
      </c>
      <c r="O44" s="225" t="str">
        <f>IF('Lighting Savings'!AA54="None","None", DOLLAR('Lighting Savings'!Z54)&amp;" "&amp;'Lighting Savings'!AA54)</f>
        <v>None</v>
      </c>
      <c r="P44" s="228" t="str">
        <f>'Lighting Savings'!AG54</f>
        <v/>
      </c>
      <c r="Q44" s="226" t="str">
        <f>'Lighting Savings'!AH54</f>
        <v/>
      </c>
      <c r="R44" s="227" t="str">
        <f>'Lighting Savings'!AI54</f>
        <v/>
      </c>
      <c r="S44" s="227">
        <f>IF('Lighting Savings'!AK54="","",'Lighting Savings'!AK54)</f>
        <v>0</v>
      </c>
      <c r="T44" s="269" t="str">
        <f>'Lighting Savings'!AO54</f>
        <v/>
      </c>
    </row>
    <row r="45" spans="1:20" s="235" customFormat="1" x14ac:dyDescent="0.25">
      <c r="A45" s="224">
        <f>'Lighting Savings'!B55</f>
        <v>36</v>
      </c>
      <c r="B45" s="225" t="str">
        <f>IF('Lighting Savings'!C55="","",'Lighting Savings'!C55)</f>
        <v/>
      </c>
      <c r="C45" s="225" t="str">
        <f>IF('Lighting Savings'!E55="","",'Lighting Savings'!E55)</f>
        <v/>
      </c>
      <c r="D45" s="226" t="str">
        <f>IF('Lighting Savings'!E55="","",IF(OR('Lighting Savings'!G55&gt;0,'Lighting Savings'!F55="Enter Watts"),'Lighting Savings'!G55,'Lighting Savings'!F55))</f>
        <v/>
      </c>
      <c r="E45" s="226" t="str">
        <f>IF('Lighting Savings'!I55="","",'Lighting Savings'!I55)</f>
        <v/>
      </c>
      <c r="F45" s="226" t="str">
        <f>IF('Lighting Savings'!J55="","",'Lighting Savings'!J55)</f>
        <v/>
      </c>
      <c r="G45" s="225" t="str">
        <f>IF('Lighting Savings'!L55="","",'Lighting Savings'!L55)</f>
        <v/>
      </c>
      <c r="H45" s="225" t="str">
        <f>IF(G45="","",'Lighting Savings'!M55)</f>
        <v/>
      </c>
      <c r="I45" s="226" t="str">
        <f>IF('Lighting Savings'!L55="","",IF(OR('Lighting Savings'!O55&gt;0,'Lighting Savings'!N55="Enter Watts"),'Lighting Savings'!O55,'Lighting Savings'!N55))</f>
        <v/>
      </c>
      <c r="J45" s="226" t="str">
        <f>IF('Lighting Savings'!Q55="","",'Lighting Savings'!Q55)</f>
        <v/>
      </c>
      <c r="K45" s="227" t="str">
        <f>IF('Lighting Savings'!S55="","",'Lighting Savings'!S55)</f>
        <v/>
      </c>
      <c r="L45" s="227" t="str">
        <f>IF('Lighting Savings'!V55="","",'Lighting Savings'!V55)</f>
        <v/>
      </c>
      <c r="M45" s="225" t="str">
        <f>IF('Lighting Savings'!W55="","",'Lighting Savings'!W55)</f>
        <v/>
      </c>
      <c r="N45" s="227" t="str">
        <f>IF('Lighting Savings'!X55&lt;&gt;"", DOLLAR('Lighting Savings'!X55)&amp;" "&amp;'Lighting Savings'!Y55,"")</f>
        <v/>
      </c>
      <c r="O45" s="225" t="str">
        <f>IF('Lighting Savings'!AA55="None","None", DOLLAR('Lighting Savings'!Z55)&amp;" "&amp;'Lighting Savings'!AA55)</f>
        <v>None</v>
      </c>
      <c r="P45" s="228" t="str">
        <f>'Lighting Savings'!AG55</f>
        <v/>
      </c>
      <c r="Q45" s="226" t="str">
        <f>'Lighting Savings'!AH55</f>
        <v/>
      </c>
      <c r="R45" s="227" t="str">
        <f>'Lighting Savings'!AI55</f>
        <v/>
      </c>
      <c r="S45" s="227">
        <f>IF('Lighting Savings'!AK55="","",'Lighting Savings'!AK55)</f>
        <v>0</v>
      </c>
      <c r="T45" s="269" t="str">
        <f>'Lighting Savings'!AO55</f>
        <v/>
      </c>
    </row>
    <row r="46" spans="1:20" s="235" customFormat="1" x14ac:dyDescent="0.25">
      <c r="A46" s="224">
        <f>'Lighting Savings'!B56</f>
        <v>37</v>
      </c>
      <c r="B46" s="225" t="str">
        <f>IF('Lighting Savings'!C56="","",'Lighting Savings'!C56)</f>
        <v/>
      </c>
      <c r="C46" s="225" t="str">
        <f>IF('Lighting Savings'!E56="","",'Lighting Savings'!E56)</f>
        <v/>
      </c>
      <c r="D46" s="226" t="str">
        <f>IF('Lighting Savings'!E56="","",IF(OR('Lighting Savings'!G56&gt;0,'Lighting Savings'!F56="Enter Watts"),'Lighting Savings'!G56,'Lighting Savings'!F56))</f>
        <v/>
      </c>
      <c r="E46" s="226" t="str">
        <f>IF('Lighting Savings'!I56="","",'Lighting Savings'!I56)</f>
        <v/>
      </c>
      <c r="F46" s="226" t="str">
        <f>IF('Lighting Savings'!J56="","",'Lighting Savings'!J56)</f>
        <v/>
      </c>
      <c r="G46" s="225" t="str">
        <f>IF('Lighting Savings'!L56="","",'Lighting Savings'!L56)</f>
        <v/>
      </c>
      <c r="H46" s="225" t="str">
        <f>IF(G46="","",'Lighting Savings'!M56)</f>
        <v/>
      </c>
      <c r="I46" s="226" t="str">
        <f>IF('Lighting Savings'!L56="","",IF(OR('Lighting Savings'!O56&gt;0,'Lighting Savings'!N56="Enter Watts"),'Lighting Savings'!O56,'Lighting Savings'!N56))</f>
        <v/>
      </c>
      <c r="J46" s="226" t="str">
        <f>IF('Lighting Savings'!Q56="","",'Lighting Savings'!Q56)</f>
        <v/>
      </c>
      <c r="K46" s="227" t="str">
        <f>IF('Lighting Savings'!S56="","",'Lighting Savings'!S56)</f>
        <v/>
      </c>
      <c r="L46" s="227" t="str">
        <f>IF('Lighting Savings'!V56="","",'Lighting Savings'!V56)</f>
        <v/>
      </c>
      <c r="M46" s="225" t="str">
        <f>IF('Lighting Savings'!W56="","",'Lighting Savings'!W56)</f>
        <v/>
      </c>
      <c r="N46" s="227" t="str">
        <f>IF('Lighting Savings'!X56&lt;&gt;"", DOLLAR('Lighting Savings'!X56)&amp;" "&amp;'Lighting Savings'!Y56,"")</f>
        <v/>
      </c>
      <c r="O46" s="225" t="str">
        <f>IF('Lighting Savings'!AA56="None","None", DOLLAR('Lighting Savings'!Z56)&amp;" "&amp;'Lighting Savings'!AA56)</f>
        <v>None</v>
      </c>
      <c r="P46" s="228" t="str">
        <f>'Lighting Savings'!AG56</f>
        <v/>
      </c>
      <c r="Q46" s="226" t="str">
        <f>'Lighting Savings'!AH56</f>
        <v/>
      </c>
      <c r="R46" s="227" t="str">
        <f>'Lighting Savings'!AI56</f>
        <v/>
      </c>
      <c r="S46" s="227">
        <f>IF('Lighting Savings'!AK56="","",'Lighting Savings'!AK56)</f>
        <v>0</v>
      </c>
      <c r="T46" s="269" t="str">
        <f>'Lighting Savings'!AO56</f>
        <v/>
      </c>
    </row>
    <row r="47" spans="1:20" s="235" customFormat="1" x14ac:dyDescent="0.25">
      <c r="A47" s="224">
        <f>'Lighting Savings'!B57</f>
        <v>38</v>
      </c>
      <c r="B47" s="225" t="str">
        <f>IF('Lighting Savings'!C57="","",'Lighting Savings'!C57)</f>
        <v/>
      </c>
      <c r="C47" s="225" t="str">
        <f>IF('Lighting Savings'!E57="","",'Lighting Savings'!E57)</f>
        <v/>
      </c>
      <c r="D47" s="226" t="str">
        <f>IF('Lighting Savings'!E57="","",IF(OR('Lighting Savings'!G57&gt;0,'Lighting Savings'!F57="Enter Watts"),'Lighting Savings'!G57,'Lighting Savings'!F57))</f>
        <v/>
      </c>
      <c r="E47" s="226" t="str">
        <f>IF('Lighting Savings'!I57="","",'Lighting Savings'!I57)</f>
        <v/>
      </c>
      <c r="F47" s="226" t="str">
        <f>IF('Lighting Savings'!J57="","",'Lighting Savings'!J57)</f>
        <v/>
      </c>
      <c r="G47" s="225" t="str">
        <f>IF('Lighting Savings'!L57="","",'Lighting Savings'!L57)</f>
        <v/>
      </c>
      <c r="H47" s="225" t="str">
        <f>IF(G47="","",'Lighting Savings'!M57)</f>
        <v/>
      </c>
      <c r="I47" s="226" t="str">
        <f>IF('Lighting Savings'!L57="","",IF(OR('Lighting Savings'!O57&gt;0,'Lighting Savings'!N57="Enter Watts"),'Lighting Savings'!O57,'Lighting Savings'!N57))</f>
        <v/>
      </c>
      <c r="J47" s="226" t="str">
        <f>IF('Lighting Savings'!Q57="","",'Lighting Savings'!Q57)</f>
        <v/>
      </c>
      <c r="K47" s="227" t="str">
        <f>IF('Lighting Savings'!S57="","",'Lighting Savings'!S57)</f>
        <v/>
      </c>
      <c r="L47" s="227" t="str">
        <f>IF('Lighting Savings'!V57="","",'Lighting Savings'!V57)</f>
        <v/>
      </c>
      <c r="M47" s="225" t="str">
        <f>IF('Lighting Savings'!W57="","",'Lighting Savings'!W57)</f>
        <v/>
      </c>
      <c r="N47" s="227" t="str">
        <f>IF('Lighting Savings'!X57&lt;&gt;"", DOLLAR('Lighting Savings'!X57)&amp;" "&amp;'Lighting Savings'!Y57,"")</f>
        <v/>
      </c>
      <c r="O47" s="225" t="str">
        <f>IF('Lighting Savings'!AA57="None","None", DOLLAR('Lighting Savings'!Z57)&amp;" "&amp;'Lighting Savings'!AA57)</f>
        <v>None</v>
      </c>
      <c r="P47" s="228" t="str">
        <f>'Lighting Savings'!AG57</f>
        <v/>
      </c>
      <c r="Q47" s="226" t="str">
        <f>'Lighting Savings'!AH57</f>
        <v/>
      </c>
      <c r="R47" s="227" t="str">
        <f>'Lighting Savings'!AI57</f>
        <v/>
      </c>
      <c r="S47" s="227">
        <f>IF('Lighting Savings'!AK57="","",'Lighting Savings'!AK57)</f>
        <v>0</v>
      </c>
      <c r="T47" s="269" t="str">
        <f>'Lighting Savings'!AO57</f>
        <v/>
      </c>
    </row>
    <row r="48" spans="1:20" s="235" customFormat="1" x14ac:dyDescent="0.25">
      <c r="A48" s="224">
        <f>'Lighting Savings'!B58</f>
        <v>39</v>
      </c>
      <c r="B48" s="225" t="str">
        <f>IF('Lighting Savings'!C58="","",'Lighting Savings'!C58)</f>
        <v/>
      </c>
      <c r="C48" s="225" t="str">
        <f>IF('Lighting Savings'!E58="","",'Lighting Savings'!E58)</f>
        <v/>
      </c>
      <c r="D48" s="226" t="str">
        <f>IF('Lighting Savings'!E58="","",IF(OR('Lighting Savings'!G58&gt;0,'Lighting Savings'!F58="Enter Watts"),'Lighting Savings'!G58,'Lighting Savings'!F58))</f>
        <v/>
      </c>
      <c r="E48" s="226" t="str">
        <f>IF('Lighting Savings'!I58="","",'Lighting Savings'!I58)</f>
        <v/>
      </c>
      <c r="F48" s="226" t="str">
        <f>IF('Lighting Savings'!J58="","",'Lighting Savings'!J58)</f>
        <v/>
      </c>
      <c r="G48" s="225" t="str">
        <f>IF('Lighting Savings'!L58="","",'Lighting Savings'!L58)</f>
        <v/>
      </c>
      <c r="H48" s="225" t="str">
        <f>IF(G48="","",'Lighting Savings'!M58)</f>
        <v/>
      </c>
      <c r="I48" s="226" t="str">
        <f>IF('Lighting Savings'!L58="","",IF(OR('Lighting Savings'!O58&gt;0,'Lighting Savings'!N58="Enter Watts"),'Lighting Savings'!O58,'Lighting Savings'!N58))</f>
        <v/>
      </c>
      <c r="J48" s="226" t="str">
        <f>IF('Lighting Savings'!Q58="","",'Lighting Savings'!Q58)</f>
        <v/>
      </c>
      <c r="K48" s="227" t="str">
        <f>IF('Lighting Savings'!S58="","",'Lighting Savings'!S58)</f>
        <v/>
      </c>
      <c r="L48" s="227" t="str">
        <f>IF('Lighting Savings'!V58="","",'Lighting Savings'!V58)</f>
        <v/>
      </c>
      <c r="M48" s="225" t="str">
        <f>IF('Lighting Savings'!W58="","",'Lighting Savings'!W58)</f>
        <v/>
      </c>
      <c r="N48" s="227" t="str">
        <f>IF('Lighting Savings'!X58&lt;&gt;"", DOLLAR('Lighting Savings'!X58)&amp;" "&amp;'Lighting Savings'!Y58,"")</f>
        <v/>
      </c>
      <c r="O48" s="225" t="str">
        <f>IF('Lighting Savings'!AA58="None","None", DOLLAR('Lighting Savings'!Z58)&amp;" "&amp;'Lighting Savings'!AA58)</f>
        <v>None</v>
      </c>
      <c r="P48" s="228" t="str">
        <f>'Lighting Savings'!AG58</f>
        <v/>
      </c>
      <c r="Q48" s="226" t="str">
        <f>'Lighting Savings'!AH58</f>
        <v/>
      </c>
      <c r="R48" s="227" t="str">
        <f>'Lighting Savings'!AI58</f>
        <v/>
      </c>
      <c r="S48" s="227">
        <f>IF('Lighting Savings'!AK58="","",'Lighting Savings'!AK58)</f>
        <v>0</v>
      </c>
      <c r="T48" s="269" t="str">
        <f>'Lighting Savings'!AO58</f>
        <v/>
      </c>
    </row>
    <row r="49" spans="1:20" s="235" customFormat="1" x14ac:dyDescent="0.25">
      <c r="A49" s="224">
        <f>'Lighting Savings'!B59</f>
        <v>40</v>
      </c>
      <c r="B49" s="225" t="str">
        <f>IF('Lighting Savings'!C59="","",'Lighting Savings'!C59)</f>
        <v/>
      </c>
      <c r="C49" s="225" t="str">
        <f>IF('Lighting Savings'!E59="","",'Lighting Savings'!E59)</f>
        <v/>
      </c>
      <c r="D49" s="226" t="str">
        <f>IF('Lighting Savings'!E59="","",IF(OR('Lighting Savings'!G59&gt;0,'Lighting Savings'!F59="Enter Watts"),'Lighting Savings'!G59,'Lighting Savings'!F59))</f>
        <v/>
      </c>
      <c r="E49" s="226" t="str">
        <f>IF('Lighting Savings'!I59="","",'Lighting Savings'!I59)</f>
        <v/>
      </c>
      <c r="F49" s="226" t="str">
        <f>IF('Lighting Savings'!J59="","",'Lighting Savings'!J59)</f>
        <v/>
      </c>
      <c r="G49" s="225" t="str">
        <f>IF('Lighting Savings'!L59="","",'Lighting Savings'!L59)</f>
        <v/>
      </c>
      <c r="H49" s="225" t="str">
        <f>IF(G49="","",'Lighting Savings'!M59)</f>
        <v/>
      </c>
      <c r="I49" s="226" t="str">
        <f>IF('Lighting Savings'!L59="","",IF(OR('Lighting Savings'!O59&gt;0,'Lighting Savings'!N59="Enter Watts"),'Lighting Savings'!O59,'Lighting Savings'!N59))</f>
        <v/>
      </c>
      <c r="J49" s="226" t="str">
        <f>IF('Lighting Savings'!Q59="","",'Lighting Savings'!Q59)</f>
        <v/>
      </c>
      <c r="K49" s="227" t="str">
        <f>IF('Lighting Savings'!S59="","",'Lighting Savings'!S59)</f>
        <v/>
      </c>
      <c r="L49" s="227" t="str">
        <f>IF('Lighting Savings'!V59="","",'Lighting Savings'!V59)</f>
        <v/>
      </c>
      <c r="M49" s="225" t="str">
        <f>IF('Lighting Savings'!W59="","",'Lighting Savings'!W59)</f>
        <v/>
      </c>
      <c r="N49" s="227" t="str">
        <f>IF('Lighting Savings'!X59&lt;&gt;"", DOLLAR('Lighting Savings'!X59)&amp;" "&amp;'Lighting Savings'!Y59,"")</f>
        <v/>
      </c>
      <c r="O49" s="225" t="str">
        <f>IF('Lighting Savings'!AA59="None","None", DOLLAR('Lighting Savings'!Z59)&amp;" "&amp;'Lighting Savings'!AA59)</f>
        <v>None</v>
      </c>
      <c r="P49" s="228" t="str">
        <f>'Lighting Savings'!AG59</f>
        <v/>
      </c>
      <c r="Q49" s="226" t="str">
        <f>'Lighting Savings'!AH59</f>
        <v/>
      </c>
      <c r="R49" s="227" t="str">
        <f>'Lighting Savings'!AI59</f>
        <v/>
      </c>
      <c r="S49" s="227">
        <f>IF('Lighting Savings'!AK59="","",'Lighting Savings'!AK59)</f>
        <v>0</v>
      </c>
      <c r="T49" s="269" t="str">
        <f>'Lighting Savings'!AO59</f>
        <v/>
      </c>
    </row>
    <row r="50" spans="1:20" s="235" customFormat="1" x14ac:dyDescent="0.25">
      <c r="A50" s="224">
        <f>'Lighting Savings'!B60</f>
        <v>41</v>
      </c>
      <c r="B50" s="225" t="str">
        <f>IF('Lighting Savings'!C60="","",'Lighting Savings'!C60)</f>
        <v/>
      </c>
      <c r="C50" s="225" t="str">
        <f>IF('Lighting Savings'!E60="","",'Lighting Savings'!E60)</f>
        <v/>
      </c>
      <c r="D50" s="226" t="str">
        <f>IF('Lighting Savings'!E60="","",IF(OR('Lighting Savings'!G60&gt;0,'Lighting Savings'!F60="Enter Watts"),'Lighting Savings'!G60,'Lighting Savings'!F60))</f>
        <v/>
      </c>
      <c r="E50" s="226" t="str">
        <f>IF('Lighting Savings'!I60="","",'Lighting Savings'!I60)</f>
        <v/>
      </c>
      <c r="F50" s="226" t="str">
        <f>IF('Lighting Savings'!J60="","",'Lighting Savings'!J60)</f>
        <v/>
      </c>
      <c r="G50" s="225" t="str">
        <f>IF('Lighting Savings'!L60="","",'Lighting Savings'!L60)</f>
        <v/>
      </c>
      <c r="H50" s="225" t="str">
        <f>IF(G50="","",'Lighting Savings'!M60)</f>
        <v/>
      </c>
      <c r="I50" s="226" t="str">
        <f>IF('Lighting Savings'!L60="","",IF(OR('Lighting Savings'!O60&gt;0,'Lighting Savings'!N60="Enter Watts"),'Lighting Savings'!O60,'Lighting Savings'!N60))</f>
        <v/>
      </c>
      <c r="J50" s="226" t="str">
        <f>IF('Lighting Savings'!Q60="","",'Lighting Savings'!Q60)</f>
        <v/>
      </c>
      <c r="K50" s="227" t="str">
        <f>IF('Lighting Savings'!S60="","",'Lighting Savings'!S60)</f>
        <v/>
      </c>
      <c r="L50" s="227" t="str">
        <f>IF('Lighting Savings'!V60="","",'Lighting Savings'!V60)</f>
        <v/>
      </c>
      <c r="M50" s="225" t="str">
        <f>IF('Lighting Savings'!W60="","",'Lighting Savings'!W60)</f>
        <v/>
      </c>
      <c r="N50" s="227" t="str">
        <f>IF('Lighting Savings'!X60&lt;&gt;"", DOLLAR('Lighting Savings'!X60)&amp;" "&amp;'Lighting Savings'!Y60,"")</f>
        <v/>
      </c>
      <c r="O50" s="225" t="str">
        <f>IF('Lighting Savings'!AA60="None","None", DOLLAR('Lighting Savings'!Z60)&amp;" "&amp;'Lighting Savings'!AA60)</f>
        <v>None</v>
      </c>
      <c r="P50" s="228" t="str">
        <f>'Lighting Savings'!AG60</f>
        <v/>
      </c>
      <c r="Q50" s="226" t="str">
        <f>'Lighting Savings'!AH60</f>
        <v/>
      </c>
      <c r="R50" s="227" t="str">
        <f>'Lighting Savings'!AI60</f>
        <v/>
      </c>
      <c r="S50" s="227">
        <f>IF('Lighting Savings'!AK60="","",'Lighting Savings'!AK60)</f>
        <v>0</v>
      </c>
      <c r="T50" s="269" t="str">
        <f>'Lighting Savings'!AO60</f>
        <v/>
      </c>
    </row>
    <row r="51" spans="1:20" s="235" customFormat="1" x14ac:dyDescent="0.25">
      <c r="A51" s="224">
        <f>'Lighting Savings'!B61</f>
        <v>42</v>
      </c>
      <c r="B51" s="225" t="str">
        <f>IF('Lighting Savings'!C61="","",'Lighting Savings'!C61)</f>
        <v/>
      </c>
      <c r="C51" s="225" t="str">
        <f>IF('Lighting Savings'!E61="","",'Lighting Savings'!E61)</f>
        <v/>
      </c>
      <c r="D51" s="226" t="str">
        <f>IF('Lighting Savings'!E61="","",IF(OR('Lighting Savings'!G61&gt;0,'Lighting Savings'!F61="Enter Watts"),'Lighting Savings'!G61,'Lighting Savings'!F61))</f>
        <v/>
      </c>
      <c r="E51" s="226" t="str">
        <f>IF('Lighting Savings'!I61="","",'Lighting Savings'!I61)</f>
        <v/>
      </c>
      <c r="F51" s="226" t="str">
        <f>IF('Lighting Savings'!J61="","",'Lighting Savings'!J61)</f>
        <v/>
      </c>
      <c r="G51" s="225" t="str">
        <f>IF('Lighting Savings'!L61="","",'Lighting Savings'!L61)</f>
        <v/>
      </c>
      <c r="H51" s="225" t="str">
        <f>IF(G51="","",'Lighting Savings'!M61)</f>
        <v/>
      </c>
      <c r="I51" s="226" t="str">
        <f>IF('Lighting Savings'!L61="","",IF(OR('Lighting Savings'!O61&gt;0,'Lighting Savings'!N61="Enter Watts"),'Lighting Savings'!O61,'Lighting Savings'!N61))</f>
        <v/>
      </c>
      <c r="J51" s="226" t="str">
        <f>IF('Lighting Savings'!Q61="","",'Lighting Savings'!Q61)</f>
        <v/>
      </c>
      <c r="K51" s="227" t="str">
        <f>IF('Lighting Savings'!S61="","",'Lighting Savings'!S61)</f>
        <v/>
      </c>
      <c r="L51" s="227" t="str">
        <f>IF('Lighting Savings'!V61="","",'Lighting Savings'!V61)</f>
        <v/>
      </c>
      <c r="M51" s="225" t="str">
        <f>IF('Lighting Savings'!W61="","",'Lighting Savings'!W61)</f>
        <v/>
      </c>
      <c r="N51" s="227" t="str">
        <f>IF('Lighting Savings'!X61&lt;&gt;"", DOLLAR('Lighting Savings'!X61)&amp;" "&amp;'Lighting Savings'!Y61,"")</f>
        <v/>
      </c>
      <c r="O51" s="225" t="str">
        <f>IF('Lighting Savings'!AA61="None","None", DOLLAR('Lighting Savings'!Z61)&amp;" "&amp;'Lighting Savings'!AA61)</f>
        <v>None</v>
      </c>
      <c r="P51" s="228" t="str">
        <f>'Lighting Savings'!AG61</f>
        <v/>
      </c>
      <c r="Q51" s="226" t="str">
        <f>'Lighting Savings'!AH61</f>
        <v/>
      </c>
      <c r="R51" s="227" t="str">
        <f>'Lighting Savings'!AI61</f>
        <v/>
      </c>
      <c r="S51" s="227">
        <f>IF('Lighting Savings'!AK61="","",'Lighting Savings'!AK61)</f>
        <v>0</v>
      </c>
      <c r="T51" s="269" t="str">
        <f>'Lighting Savings'!AO61</f>
        <v/>
      </c>
    </row>
    <row r="52" spans="1:20" s="235" customFormat="1" x14ac:dyDescent="0.25">
      <c r="A52" s="224">
        <f>'Lighting Savings'!B62</f>
        <v>43</v>
      </c>
      <c r="B52" s="225" t="str">
        <f>IF('Lighting Savings'!C62="","",'Lighting Savings'!C62)</f>
        <v/>
      </c>
      <c r="C52" s="225" t="str">
        <f>IF('Lighting Savings'!E62="","",'Lighting Savings'!E62)</f>
        <v/>
      </c>
      <c r="D52" s="226" t="str">
        <f>IF('Lighting Savings'!E62="","",IF(OR('Lighting Savings'!G62&gt;0,'Lighting Savings'!F62="Enter Watts"),'Lighting Savings'!G62,'Lighting Savings'!F62))</f>
        <v/>
      </c>
      <c r="E52" s="226" t="str">
        <f>IF('Lighting Savings'!I62="","",'Lighting Savings'!I62)</f>
        <v/>
      </c>
      <c r="F52" s="226" t="str">
        <f>IF('Lighting Savings'!J62="","",'Lighting Savings'!J62)</f>
        <v/>
      </c>
      <c r="G52" s="225" t="str">
        <f>IF('Lighting Savings'!L62="","",'Lighting Savings'!L62)</f>
        <v/>
      </c>
      <c r="H52" s="225" t="str">
        <f>IF(G52="","",'Lighting Savings'!M62)</f>
        <v/>
      </c>
      <c r="I52" s="226" t="str">
        <f>IF('Lighting Savings'!L62="","",IF(OR('Lighting Savings'!O62&gt;0,'Lighting Savings'!N62="Enter Watts"),'Lighting Savings'!O62,'Lighting Savings'!N62))</f>
        <v/>
      </c>
      <c r="J52" s="226" t="str">
        <f>IF('Lighting Savings'!Q62="","",'Lighting Savings'!Q62)</f>
        <v/>
      </c>
      <c r="K52" s="227" t="str">
        <f>IF('Lighting Savings'!S62="","",'Lighting Savings'!S62)</f>
        <v/>
      </c>
      <c r="L52" s="227" t="str">
        <f>IF('Lighting Savings'!V62="","",'Lighting Savings'!V62)</f>
        <v/>
      </c>
      <c r="M52" s="225" t="str">
        <f>IF('Lighting Savings'!W62="","",'Lighting Savings'!W62)</f>
        <v/>
      </c>
      <c r="N52" s="227" t="str">
        <f>IF('Lighting Savings'!X62&lt;&gt;"", DOLLAR('Lighting Savings'!X62)&amp;" "&amp;'Lighting Savings'!Y62,"")</f>
        <v/>
      </c>
      <c r="O52" s="225" t="str">
        <f>IF('Lighting Savings'!AA62="None","None", DOLLAR('Lighting Savings'!Z62)&amp;" "&amp;'Lighting Savings'!AA62)</f>
        <v>None</v>
      </c>
      <c r="P52" s="228" t="str">
        <f>'Lighting Savings'!AG62</f>
        <v/>
      </c>
      <c r="Q52" s="226" t="str">
        <f>'Lighting Savings'!AH62</f>
        <v/>
      </c>
      <c r="R52" s="227" t="str">
        <f>'Lighting Savings'!AI62</f>
        <v/>
      </c>
      <c r="S52" s="227">
        <f>IF('Lighting Savings'!AK62="","",'Lighting Savings'!AK62)</f>
        <v>0</v>
      </c>
      <c r="T52" s="269" t="str">
        <f>'Lighting Savings'!AO62</f>
        <v/>
      </c>
    </row>
    <row r="53" spans="1:20" s="235" customFormat="1" x14ac:dyDescent="0.25">
      <c r="A53" s="224">
        <f>'Lighting Savings'!B63</f>
        <v>44</v>
      </c>
      <c r="B53" s="225" t="str">
        <f>IF('Lighting Savings'!C63="","",'Lighting Savings'!C63)</f>
        <v/>
      </c>
      <c r="C53" s="225" t="str">
        <f>IF('Lighting Savings'!E63="","",'Lighting Savings'!E63)</f>
        <v/>
      </c>
      <c r="D53" s="226" t="str">
        <f>IF('Lighting Savings'!E63="","",IF(OR('Lighting Savings'!G63&gt;0,'Lighting Savings'!F63="Enter Watts"),'Lighting Savings'!G63,'Lighting Savings'!F63))</f>
        <v/>
      </c>
      <c r="E53" s="226" t="str">
        <f>IF('Lighting Savings'!I63="","",'Lighting Savings'!I63)</f>
        <v/>
      </c>
      <c r="F53" s="226" t="str">
        <f>IF('Lighting Savings'!J63="","",'Lighting Savings'!J63)</f>
        <v/>
      </c>
      <c r="G53" s="225" t="str">
        <f>IF('Lighting Savings'!L63="","",'Lighting Savings'!L63)</f>
        <v/>
      </c>
      <c r="H53" s="225" t="str">
        <f>IF(G53="","",'Lighting Savings'!M63)</f>
        <v/>
      </c>
      <c r="I53" s="226" t="str">
        <f>IF('Lighting Savings'!L63="","",IF(OR('Lighting Savings'!O63&gt;0,'Lighting Savings'!N63="Enter Watts"),'Lighting Savings'!O63,'Lighting Savings'!N63))</f>
        <v/>
      </c>
      <c r="J53" s="226" t="str">
        <f>IF('Lighting Savings'!Q63="","",'Lighting Savings'!Q63)</f>
        <v/>
      </c>
      <c r="K53" s="227" t="str">
        <f>IF('Lighting Savings'!S63="","",'Lighting Savings'!S63)</f>
        <v/>
      </c>
      <c r="L53" s="227" t="str">
        <f>IF('Lighting Savings'!V63="","",'Lighting Savings'!V63)</f>
        <v/>
      </c>
      <c r="M53" s="225" t="str">
        <f>IF('Lighting Savings'!W63="","",'Lighting Savings'!W63)</f>
        <v/>
      </c>
      <c r="N53" s="227" t="str">
        <f>IF('Lighting Savings'!X63&lt;&gt;"", DOLLAR('Lighting Savings'!X63)&amp;" "&amp;'Lighting Savings'!Y63,"")</f>
        <v/>
      </c>
      <c r="O53" s="225" t="str">
        <f>IF('Lighting Savings'!AA63="None","None", DOLLAR('Lighting Savings'!Z63)&amp;" "&amp;'Lighting Savings'!AA63)</f>
        <v>None</v>
      </c>
      <c r="P53" s="228" t="str">
        <f>'Lighting Savings'!AG63</f>
        <v/>
      </c>
      <c r="Q53" s="226" t="str">
        <f>'Lighting Savings'!AH63</f>
        <v/>
      </c>
      <c r="R53" s="227" t="str">
        <f>'Lighting Savings'!AI63</f>
        <v/>
      </c>
      <c r="S53" s="227">
        <f>IF('Lighting Savings'!AK63="","",'Lighting Savings'!AK63)</f>
        <v>0</v>
      </c>
      <c r="T53" s="269" t="str">
        <f>'Lighting Savings'!AO63</f>
        <v/>
      </c>
    </row>
    <row r="54" spans="1:20" s="235" customFormat="1" x14ac:dyDescent="0.25">
      <c r="A54" s="224">
        <f>'Lighting Savings'!B64</f>
        <v>45</v>
      </c>
      <c r="B54" s="225" t="str">
        <f>IF('Lighting Savings'!C64="","",'Lighting Savings'!C64)</f>
        <v/>
      </c>
      <c r="C54" s="225" t="str">
        <f>IF('Lighting Savings'!E64="","",'Lighting Savings'!E64)</f>
        <v/>
      </c>
      <c r="D54" s="226" t="str">
        <f>IF('Lighting Savings'!E64="","",IF(OR('Lighting Savings'!G64&gt;0,'Lighting Savings'!F64="Enter Watts"),'Lighting Savings'!G64,'Lighting Savings'!F64))</f>
        <v/>
      </c>
      <c r="E54" s="226" t="str">
        <f>IF('Lighting Savings'!I64="","",'Lighting Savings'!I64)</f>
        <v/>
      </c>
      <c r="F54" s="226" t="str">
        <f>IF('Lighting Savings'!J64="","",'Lighting Savings'!J64)</f>
        <v/>
      </c>
      <c r="G54" s="225" t="str">
        <f>IF('Lighting Savings'!L64="","",'Lighting Savings'!L64)</f>
        <v/>
      </c>
      <c r="H54" s="225" t="str">
        <f>IF(G54="","",'Lighting Savings'!M64)</f>
        <v/>
      </c>
      <c r="I54" s="226" t="str">
        <f>IF('Lighting Savings'!L64="","",IF(OR('Lighting Savings'!O64&gt;0,'Lighting Savings'!N64="Enter Watts"),'Lighting Savings'!O64,'Lighting Savings'!N64))</f>
        <v/>
      </c>
      <c r="J54" s="226" t="str">
        <f>IF('Lighting Savings'!Q64="","",'Lighting Savings'!Q64)</f>
        <v/>
      </c>
      <c r="K54" s="227" t="str">
        <f>IF('Lighting Savings'!S64="","",'Lighting Savings'!S64)</f>
        <v/>
      </c>
      <c r="L54" s="227" t="str">
        <f>IF('Lighting Savings'!V64="","",'Lighting Savings'!V64)</f>
        <v/>
      </c>
      <c r="M54" s="225" t="str">
        <f>IF('Lighting Savings'!W64="","",'Lighting Savings'!W64)</f>
        <v/>
      </c>
      <c r="N54" s="227" t="str">
        <f>IF('Lighting Savings'!X64&lt;&gt;"", DOLLAR('Lighting Savings'!X64)&amp;" "&amp;'Lighting Savings'!Y64,"")</f>
        <v/>
      </c>
      <c r="O54" s="225" t="str">
        <f>IF('Lighting Savings'!AA64="None","None", DOLLAR('Lighting Savings'!Z64)&amp;" "&amp;'Lighting Savings'!AA64)</f>
        <v>None</v>
      </c>
      <c r="P54" s="228" t="str">
        <f>'Lighting Savings'!AG64</f>
        <v/>
      </c>
      <c r="Q54" s="226" t="str">
        <f>'Lighting Savings'!AH64</f>
        <v/>
      </c>
      <c r="R54" s="227" t="str">
        <f>'Lighting Savings'!AI64</f>
        <v/>
      </c>
      <c r="S54" s="227">
        <f>IF('Lighting Savings'!AK64="","",'Lighting Savings'!AK64)</f>
        <v>0</v>
      </c>
      <c r="T54" s="269" t="str">
        <f>'Lighting Savings'!AO64</f>
        <v/>
      </c>
    </row>
    <row r="55" spans="1:20" s="235" customFormat="1" x14ac:dyDescent="0.25">
      <c r="A55" s="224">
        <f>'Lighting Savings'!B65</f>
        <v>46</v>
      </c>
      <c r="B55" s="225" t="str">
        <f>IF('Lighting Savings'!C65="","",'Lighting Savings'!C65)</f>
        <v/>
      </c>
      <c r="C55" s="225" t="str">
        <f>IF('Lighting Savings'!E65="","",'Lighting Savings'!E65)</f>
        <v/>
      </c>
      <c r="D55" s="226" t="str">
        <f>IF('Lighting Savings'!E65="","",IF(OR('Lighting Savings'!G65&gt;0,'Lighting Savings'!F65="Enter Watts"),'Lighting Savings'!G65,'Lighting Savings'!F65))</f>
        <v/>
      </c>
      <c r="E55" s="226" t="str">
        <f>IF('Lighting Savings'!I65="","",'Lighting Savings'!I65)</f>
        <v/>
      </c>
      <c r="F55" s="226" t="str">
        <f>IF('Lighting Savings'!J65="","",'Lighting Savings'!J65)</f>
        <v/>
      </c>
      <c r="G55" s="225" t="str">
        <f>IF('Lighting Savings'!L65="","",'Lighting Savings'!L65)</f>
        <v/>
      </c>
      <c r="H55" s="225" t="str">
        <f>IF(G55="","",'Lighting Savings'!M65)</f>
        <v/>
      </c>
      <c r="I55" s="226" t="str">
        <f>IF('Lighting Savings'!L65="","",IF(OR('Lighting Savings'!O65&gt;0,'Lighting Savings'!N65="Enter Watts"),'Lighting Savings'!O65,'Lighting Savings'!N65))</f>
        <v/>
      </c>
      <c r="J55" s="226" t="str">
        <f>IF('Lighting Savings'!Q65="","",'Lighting Savings'!Q65)</f>
        <v/>
      </c>
      <c r="K55" s="227" t="str">
        <f>IF('Lighting Savings'!S65="","",'Lighting Savings'!S65)</f>
        <v/>
      </c>
      <c r="L55" s="227" t="str">
        <f>IF('Lighting Savings'!V65="","",'Lighting Savings'!V65)</f>
        <v/>
      </c>
      <c r="M55" s="225" t="str">
        <f>IF('Lighting Savings'!W65="","",'Lighting Savings'!W65)</f>
        <v/>
      </c>
      <c r="N55" s="227" t="str">
        <f>IF('Lighting Savings'!X65&lt;&gt;"", DOLLAR('Lighting Savings'!X65)&amp;" "&amp;'Lighting Savings'!Y65,"")</f>
        <v/>
      </c>
      <c r="O55" s="225" t="str">
        <f>IF('Lighting Savings'!AA65="None","None", DOLLAR('Lighting Savings'!Z65)&amp;" "&amp;'Lighting Savings'!AA65)</f>
        <v>None</v>
      </c>
      <c r="P55" s="228" t="str">
        <f>'Lighting Savings'!AG65</f>
        <v/>
      </c>
      <c r="Q55" s="226" t="str">
        <f>'Lighting Savings'!AH65</f>
        <v/>
      </c>
      <c r="R55" s="227" t="str">
        <f>'Lighting Savings'!AI65</f>
        <v/>
      </c>
      <c r="S55" s="227">
        <f>IF('Lighting Savings'!AK65="","",'Lighting Savings'!AK65)</f>
        <v>0</v>
      </c>
      <c r="T55" s="269" t="str">
        <f>'Lighting Savings'!AO65</f>
        <v/>
      </c>
    </row>
    <row r="56" spans="1:20" s="235" customFormat="1" x14ac:dyDescent="0.25">
      <c r="A56" s="224">
        <f>'Lighting Savings'!B66</f>
        <v>47</v>
      </c>
      <c r="B56" s="225" t="str">
        <f>IF('Lighting Savings'!C66="","",'Lighting Savings'!C66)</f>
        <v/>
      </c>
      <c r="C56" s="225" t="str">
        <f>IF('Lighting Savings'!E66="","",'Lighting Savings'!E66)</f>
        <v/>
      </c>
      <c r="D56" s="226" t="str">
        <f>IF('Lighting Savings'!E66="","",IF(OR('Lighting Savings'!G66&gt;0,'Lighting Savings'!F66="Enter Watts"),'Lighting Savings'!G66,'Lighting Savings'!F66))</f>
        <v/>
      </c>
      <c r="E56" s="226" t="str">
        <f>IF('Lighting Savings'!I66="","",'Lighting Savings'!I66)</f>
        <v/>
      </c>
      <c r="F56" s="226" t="str">
        <f>IF('Lighting Savings'!J66="","",'Lighting Savings'!J66)</f>
        <v/>
      </c>
      <c r="G56" s="225" t="str">
        <f>IF('Lighting Savings'!L66="","",'Lighting Savings'!L66)</f>
        <v/>
      </c>
      <c r="H56" s="225" t="str">
        <f>IF(G56="","",'Lighting Savings'!M66)</f>
        <v/>
      </c>
      <c r="I56" s="226" t="str">
        <f>IF('Lighting Savings'!L66="","",IF(OR('Lighting Savings'!O66&gt;0,'Lighting Savings'!N66="Enter Watts"),'Lighting Savings'!O66,'Lighting Savings'!N66))</f>
        <v/>
      </c>
      <c r="J56" s="226" t="str">
        <f>IF('Lighting Savings'!Q66="","",'Lighting Savings'!Q66)</f>
        <v/>
      </c>
      <c r="K56" s="227" t="str">
        <f>IF('Lighting Savings'!S66="","",'Lighting Savings'!S66)</f>
        <v/>
      </c>
      <c r="L56" s="227" t="str">
        <f>IF('Lighting Savings'!V66="","",'Lighting Savings'!V66)</f>
        <v/>
      </c>
      <c r="M56" s="225" t="str">
        <f>IF('Lighting Savings'!W66="","",'Lighting Savings'!W66)</f>
        <v/>
      </c>
      <c r="N56" s="227" t="str">
        <f>IF('Lighting Savings'!X66&lt;&gt;"", DOLLAR('Lighting Savings'!X66)&amp;" "&amp;'Lighting Savings'!Y66,"")</f>
        <v/>
      </c>
      <c r="O56" s="225" t="str">
        <f>IF('Lighting Savings'!AA66="None","None", DOLLAR('Lighting Savings'!Z66)&amp;" "&amp;'Lighting Savings'!AA66)</f>
        <v>None</v>
      </c>
      <c r="P56" s="228" t="str">
        <f>'Lighting Savings'!AG66</f>
        <v/>
      </c>
      <c r="Q56" s="226" t="str">
        <f>'Lighting Savings'!AH66</f>
        <v/>
      </c>
      <c r="R56" s="227" t="str">
        <f>'Lighting Savings'!AI66</f>
        <v/>
      </c>
      <c r="S56" s="227">
        <f>IF('Lighting Savings'!AK66="","",'Lighting Savings'!AK66)</f>
        <v>0</v>
      </c>
      <c r="T56" s="269" t="str">
        <f>'Lighting Savings'!AO66</f>
        <v/>
      </c>
    </row>
    <row r="57" spans="1:20" s="235" customFormat="1" x14ac:dyDescent="0.25">
      <c r="A57" s="224">
        <f>'Lighting Savings'!B67</f>
        <v>48</v>
      </c>
      <c r="B57" s="225" t="str">
        <f>IF('Lighting Savings'!C67="","",'Lighting Savings'!C67)</f>
        <v/>
      </c>
      <c r="C57" s="225" t="str">
        <f>IF('Lighting Savings'!E67="","",'Lighting Savings'!E67)</f>
        <v/>
      </c>
      <c r="D57" s="226" t="str">
        <f>IF('Lighting Savings'!E67="","",IF(OR('Lighting Savings'!G67&gt;0,'Lighting Savings'!F67="Enter Watts"),'Lighting Savings'!G67,'Lighting Savings'!F67))</f>
        <v/>
      </c>
      <c r="E57" s="226" t="str">
        <f>IF('Lighting Savings'!I67="","",'Lighting Savings'!I67)</f>
        <v/>
      </c>
      <c r="F57" s="226" t="str">
        <f>IF('Lighting Savings'!J67="","",'Lighting Savings'!J67)</f>
        <v/>
      </c>
      <c r="G57" s="225" t="str">
        <f>IF('Lighting Savings'!L67="","",'Lighting Savings'!L67)</f>
        <v/>
      </c>
      <c r="H57" s="225" t="str">
        <f>IF(G57="","",'Lighting Savings'!M67)</f>
        <v/>
      </c>
      <c r="I57" s="226" t="str">
        <f>IF('Lighting Savings'!L67="","",IF(OR('Lighting Savings'!O67&gt;0,'Lighting Savings'!N67="Enter Watts"),'Lighting Savings'!O67,'Lighting Savings'!N67))</f>
        <v/>
      </c>
      <c r="J57" s="226" t="str">
        <f>IF('Lighting Savings'!Q67="","",'Lighting Savings'!Q67)</f>
        <v/>
      </c>
      <c r="K57" s="227" t="str">
        <f>IF('Lighting Savings'!S67="","",'Lighting Savings'!S67)</f>
        <v/>
      </c>
      <c r="L57" s="227" t="str">
        <f>IF('Lighting Savings'!V67="","",'Lighting Savings'!V67)</f>
        <v/>
      </c>
      <c r="M57" s="225" t="str">
        <f>IF('Lighting Savings'!W67="","",'Lighting Savings'!W67)</f>
        <v/>
      </c>
      <c r="N57" s="227" t="str">
        <f>IF('Lighting Savings'!X67&lt;&gt;"", DOLLAR('Lighting Savings'!X67)&amp;" "&amp;'Lighting Savings'!Y67,"")</f>
        <v/>
      </c>
      <c r="O57" s="225" t="str">
        <f>IF('Lighting Savings'!AA67="None","None", DOLLAR('Lighting Savings'!Z67)&amp;" "&amp;'Lighting Savings'!AA67)</f>
        <v>None</v>
      </c>
      <c r="P57" s="228" t="str">
        <f>'Lighting Savings'!AG67</f>
        <v/>
      </c>
      <c r="Q57" s="226" t="str">
        <f>'Lighting Savings'!AH67</f>
        <v/>
      </c>
      <c r="R57" s="227" t="str">
        <f>'Lighting Savings'!AI67</f>
        <v/>
      </c>
      <c r="S57" s="227">
        <f>IF('Lighting Savings'!AK67="","",'Lighting Savings'!AK67)</f>
        <v>0</v>
      </c>
      <c r="T57" s="269" t="str">
        <f>'Lighting Savings'!AO67</f>
        <v/>
      </c>
    </row>
    <row r="58" spans="1:20" s="235" customFormat="1" x14ac:dyDescent="0.25">
      <c r="A58" s="224">
        <f>'Lighting Savings'!B68</f>
        <v>49</v>
      </c>
      <c r="B58" s="225" t="str">
        <f>IF('Lighting Savings'!C68="","",'Lighting Savings'!C68)</f>
        <v/>
      </c>
      <c r="C58" s="225" t="str">
        <f>IF('Lighting Savings'!E68="","",'Lighting Savings'!E68)</f>
        <v/>
      </c>
      <c r="D58" s="226" t="str">
        <f>IF('Lighting Savings'!E68="","",IF(OR('Lighting Savings'!G68&gt;0,'Lighting Savings'!F68="Enter Watts"),'Lighting Savings'!G68,'Lighting Savings'!F68))</f>
        <v/>
      </c>
      <c r="E58" s="226" t="str">
        <f>IF('Lighting Savings'!I68="","",'Lighting Savings'!I68)</f>
        <v/>
      </c>
      <c r="F58" s="226" t="str">
        <f>IF('Lighting Savings'!J68="","",'Lighting Savings'!J68)</f>
        <v/>
      </c>
      <c r="G58" s="225" t="str">
        <f>IF('Lighting Savings'!L68="","",'Lighting Savings'!L68)</f>
        <v/>
      </c>
      <c r="H58" s="225" t="str">
        <f>IF(G58="","",'Lighting Savings'!M68)</f>
        <v/>
      </c>
      <c r="I58" s="226" t="str">
        <f>IF('Lighting Savings'!L68="","",IF(OR('Lighting Savings'!O68&gt;0,'Lighting Savings'!N68="Enter Watts"),'Lighting Savings'!O68,'Lighting Savings'!N68))</f>
        <v/>
      </c>
      <c r="J58" s="226" t="str">
        <f>IF('Lighting Savings'!Q68="","",'Lighting Savings'!Q68)</f>
        <v/>
      </c>
      <c r="K58" s="227" t="str">
        <f>IF('Lighting Savings'!S68="","",'Lighting Savings'!S68)</f>
        <v/>
      </c>
      <c r="L58" s="227" t="str">
        <f>IF('Lighting Savings'!V68="","",'Lighting Savings'!V68)</f>
        <v/>
      </c>
      <c r="M58" s="225" t="str">
        <f>IF('Lighting Savings'!W68="","",'Lighting Savings'!W68)</f>
        <v/>
      </c>
      <c r="N58" s="227" t="str">
        <f>IF('Lighting Savings'!X68&lt;&gt;"", DOLLAR('Lighting Savings'!X68)&amp;" "&amp;'Lighting Savings'!Y68,"")</f>
        <v/>
      </c>
      <c r="O58" s="225" t="str">
        <f>IF('Lighting Savings'!AA68="None","None", DOLLAR('Lighting Savings'!Z68)&amp;" "&amp;'Lighting Savings'!AA68)</f>
        <v>None</v>
      </c>
      <c r="P58" s="228" t="str">
        <f>'Lighting Savings'!AG68</f>
        <v/>
      </c>
      <c r="Q58" s="226" t="str">
        <f>'Lighting Savings'!AH68</f>
        <v/>
      </c>
      <c r="R58" s="227" t="str">
        <f>'Lighting Savings'!AI68</f>
        <v/>
      </c>
      <c r="S58" s="227">
        <f>IF('Lighting Savings'!AK68="","",'Lighting Savings'!AK68)</f>
        <v>0</v>
      </c>
      <c r="T58" s="269" t="str">
        <f>'Lighting Savings'!AO68</f>
        <v/>
      </c>
    </row>
    <row r="59" spans="1:20" s="235" customFormat="1" x14ac:dyDescent="0.25">
      <c r="A59" s="224">
        <f>'Lighting Savings'!B69</f>
        <v>50</v>
      </c>
      <c r="B59" s="225" t="str">
        <f>IF('Lighting Savings'!C69="","",'Lighting Savings'!C69)</f>
        <v/>
      </c>
      <c r="C59" s="225" t="str">
        <f>IF('Lighting Savings'!E69="","",'Lighting Savings'!E69)</f>
        <v/>
      </c>
      <c r="D59" s="226" t="str">
        <f>IF('Lighting Savings'!E69="","",IF(OR('Lighting Savings'!G69&gt;0,'Lighting Savings'!F69="Enter Watts"),'Lighting Savings'!G69,'Lighting Savings'!F69))</f>
        <v/>
      </c>
      <c r="E59" s="226" t="str">
        <f>IF('Lighting Savings'!I69="","",'Lighting Savings'!I69)</f>
        <v/>
      </c>
      <c r="F59" s="226" t="str">
        <f>IF('Lighting Savings'!J69="","",'Lighting Savings'!J69)</f>
        <v/>
      </c>
      <c r="G59" s="225" t="str">
        <f>IF('Lighting Savings'!L69="","",'Lighting Savings'!L69)</f>
        <v/>
      </c>
      <c r="H59" s="225" t="str">
        <f>IF(G59="","",'Lighting Savings'!M69)</f>
        <v/>
      </c>
      <c r="I59" s="226" t="str">
        <f>IF('Lighting Savings'!L69="","",IF(OR('Lighting Savings'!O69&gt;0,'Lighting Savings'!N69="Enter Watts"),'Lighting Savings'!O69,'Lighting Savings'!N69))</f>
        <v/>
      </c>
      <c r="J59" s="226" t="str">
        <f>IF('Lighting Savings'!Q69="","",'Lighting Savings'!Q69)</f>
        <v/>
      </c>
      <c r="K59" s="227" t="str">
        <f>IF('Lighting Savings'!S69="","",'Lighting Savings'!S69)</f>
        <v/>
      </c>
      <c r="L59" s="227" t="str">
        <f>IF('Lighting Savings'!V69="","",'Lighting Savings'!V69)</f>
        <v/>
      </c>
      <c r="M59" s="225" t="str">
        <f>IF('Lighting Savings'!W69="","",'Lighting Savings'!W69)</f>
        <v/>
      </c>
      <c r="N59" s="227" t="str">
        <f>IF('Lighting Savings'!X69&lt;&gt;"", DOLLAR('Lighting Savings'!X69)&amp;" "&amp;'Lighting Savings'!Y69,"")</f>
        <v/>
      </c>
      <c r="O59" s="225" t="str">
        <f>IF('Lighting Savings'!AA69="None","None", DOLLAR('Lighting Savings'!Z69)&amp;" "&amp;'Lighting Savings'!AA69)</f>
        <v>None</v>
      </c>
      <c r="P59" s="228" t="str">
        <f>'Lighting Savings'!AG69</f>
        <v/>
      </c>
      <c r="Q59" s="226" t="str">
        <f>'Lighting Savings'!AH69</f>
        <v/>
      </c>
      <c r="R59" s="227" t="str">
        <f>'Lighting Savings'!AI69</f>
        <v/>
      </c>
      <c r="S59" s="227">
        <f>IF('Lighting Savings'!AK69="","",'Lighting Savings'!AK69)</f>
        <v>0</v>
      </c>
      <c r="T59" s="269" t="str">
        <f>'Lighting Savings'!AO69</f>
        <v/>
      </c>
    </row>
    <row r="60" spans="1:20" x14ac:dyDescent="0.25">
      <c r="D60" s="264" t="s">
        <v>106</v>
      </c>
      <c r="E60" s="263">
        <f>IF('Lighting Savings'!I70="","",'Lighting Savings'!I70)</f>
        <v>0</v>
      </c>
      <c r="F60" s="263"/>
      <c r="G60" s="265"/>
      <c r="H60" s="265"/>
      <c r="I60" s="263"/>
      <c r="J60" s="263">
        <f>IF('Lighting Savings'!Q70="","",'Lighting Savings'!Q70)</f>
        <v>0</v>
      </c>
      <c r="K60" s="266">
        <f>IF('Lighting Savings'!S70="","",'Lighting Savings'!S70)</f>
        <v>0</v>
      </c>
      <c r="L60" s="266">
        <f>IF('Lighting Savings'!V70="","",'Lighting Savings'!V70)</f>
        <v>0</v>
      </c>
      <c r="M60" s="266"/>
      <c r="O60" s="263"/>
      <c r="P60" s="267">
        <f>IF('Lighting Savings'!AG70="","",'Lighting Savings'!AG70)</f>
        <v>0</v>
      </c>
      <c r="Q60" s="268">
        <f>IF('Lighting Savings'!AH70="","",'Lighting Savings'!AH70)</f>
        <v>0</v>
      </c>
      <c r="R60" s="266">
        <f>IF('Lighting Savings'!AI70="","",'Lighting Savings'!AI70)</f>
        <v>0</v>
      </c>
      <c r="S60" s="266">
        <f>IF('Lighting Savings'!AK70="","",'Lighting Savings'!AK70)</f>
        <v>0</v>
      </c>
      <c r="T60" s="270" t="str">
        <f>IF('Lighting Savings'!AO70="","",'Lighting Savings'!AO70)</f>
        <v/>
      </c>
    </row>
  </sheetData>
  <sheetProtection algorithmName="SHA-512" hashValue="Ag+Jftdei+i+5I6W2RhaARDxIwCkz+WND4suXeDBs4vxiqAGeR5/bg2Bo2YfngqGh8FZlv2eFisVaL9Qhmcn+Q==" saltValue="MO7vCI3FnRY0RyT9rvA5/A==" spinCount="100000" sheet="1" formatCells="0" formatRows="0"/>
  <mergeCells count="10">
    <mergeCell ref="S5:T5"/>
    <mergeCell ref="S6:T6"/>
    <mergeCell ref="S7:T7"/>
    <mergeCell ref="A2:I7"/>
    <mergeCell ref="A8:F8"/>
    <mergeCell ref="M3:N3"/>
    <mergeCell ref="M4:N4"/>
    <mergeCell ref="M5:N5"/>
    <mergeCell ref="M6:N6"/>
    <mergeCell ref="M7:N7"/>
  </mergeCells>
  <pageMargins left="0.25" right="0.25" top="0.75" bottom="0.75" header="0.3" footer="0.3"/>
  <pageSetup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85"/>
  <sheetViews>
    <sheetView zoomScale="90" zoomScaleNormal="90" workbookViewId="0">
      <selection activeCell="C21" sqref="C21"/>
    </sheetView>
  </sheetViews>
  <sheetFormatPr defaultColWidth="9.140625" defaultRowHeight="12.75" x14ac:dyDescent="0.2"/>
  <cols>
    <col min="1" max="1" width="1.7109375" style="2" customWidth="1"/>
    <col min="2" max="2" width="3.7109375" style="2" customWidth="1"/>
    <col min="3" max="3" width="19.7109375" style="2" customWidth="1"/>
    <col min="4" max="4" width="30.7109375" style="2" customWidth="1"/>
    <col min="5" max="5" width="18.7109375" style="2" customWidth="1"/>
    <col min="6" max="6" width="9.7109375" style="2" customWidth="1"/>
    <col min="7" max="7" width="14.7109375" style="2" customWidth="1"/>
    <col min="8" max="8" width="12.7109375" style="2" customWidth="1"/>
    <col min="9" max="9" width="14.7109375" style="2" customWidth="1"/>
    <col min="10" max="10" width="22.7109375" style="2" customWidth="1"/>
    <col min="11" max="11" width="9.7109375" style="2" customWidth="1"/>
    <col min="12" max="12" width="19.7109375" style="2" customWidth="1"/>
    <col min="13" max="15" width="9.140625" style="2" customWidth="1"/>
    <col min="16" max="16" width="12.7109375" style="2" customWidth="1"/>
    <col min="17" max="17" width="14.7109375" style="2" customWidth="1"/>
    <col min="18" max="18" width="12.7109375" style="2" customWidth="1"/>
    <col min="19" max="19" width="14.7109375" style="2" customWidth="1"/>
    <col min="20" max="20" width="14.7109375" style="2" hidden="1" customWidth="1"/>
    <col min="21" max="23" width="10.7109375" style="2" hidden="1" customWidth="1"/>
    <col min="24" max="24" width="12.85546875" style="2" hidden="1" customWidth="1"/>
    <col min="25" max="25" width="45.7109375" style="2" customWidth="1"/>
    <col min="26" max="16384" width="9.140625" style="2"/>
  </cols>
  <sheetData>
    <row r="1" spans="1:24" ht="15" customHeight="1" x14ac:dyDescent="0.2">
      <c r="D1" s="360" t="s">
        <v>688</v>
      </c>
      <c r="E1" s="360"/>
      <c r="F1" s="360"/>
      <c r="G1" s="360"/>
      <c r="M1" s="68"/>
      <c r="N1" s="68"/>
      <c r="O1" s="68"/>
      <c r="T1" s="69" t="s">
        <v>2</v>
      </c>
      <c r="U1" s="69" t="s">
        <v>2</v>
      </c>
      <c r="V1" s="69" t="s">
        <v>2</v>
      </c>
      <c r="W1" s="69" t="s">
        <v>2</v>
      </c>
      <c r="X1" s="69" t="s">
        <v>2</v>
      </c>
    </row>
    <row r="2" spans="1:24" ht="15" customHeight="1" x14ac:dyDescent="0.2">
      <c r="D2" s="360"/>
      <c r="E2" s="360"/>
      <c r="F2" s="360"/>
      <c r="G2" s="360"/>
      <c r="M2" s="68"/>
      <c r="N2" s="68"/>
    </row>
    <row r="3" spans="1:24" ht="18" x14ac:dyDescent="0.25">
      <c r="D3" s="359" t="s">
        <v>689</v>
      </c>
      <c r="E3" s="359"/>
      <c r="F3" s="359"/>
      <c r="G3" s="359"/>
      <c r="Q3" s="378" t="s">
        <v>690</v>
      </c>
      <c r="R3" s="378"/>
      <c r="S3" s="378"/>
    </row>
    <row r="4" spans="1:24" s="68" customFormat="1" ht="15" customHeight="1" x14ac:dyDescent="0.2">
      <c r="A4" s="2"/>
      <c r="B4" s="2"/>
      <c r="C4" s="2"/>
      <c r="D4" s="2"/>
      <c r="E4" s="2"/>
      <c r="F4" s="2"/>
      <c r="G4" s="2"/>
      <c r="R4" s="2"/>
      <c r="U4" s="2"/>
      <c r="V4" s="2"/>
      <c r="W4" s="2"/>
      <c r="X4" s="2"/>
    </row>
    <row r="5" spans="1:24" s="68" customFormat="1" ht="15" customHeight="1" x14ac:dyDescent="0.25">
      <c r="A5" s="2"/>
      <c r="B5" s="325" t="s">
        <v>10</v>
      </c>
      <c r="C5" s="220"/>
      <c r="D5" s="115"/>
      <c r="E5" s="115"/>
      <c r="F5" s="115"/>
      <c r="G5" s="115"/>
      <c r="H5" s="115"/>
      <c r="I5" s="116"/>
      <c r="J5" s="379" t="s">
        <v>684</v>
      </c>
      <c r="K5" s="379"/>
      <c r="L5" s="379"/>
      <c r="M5" s="276"/>
      <c r="N5" s="2"/>
      <c r="O5" s="2"/>
      <c r="P5" s="2"/>
    </row>
    <row r="6" spans="1:24" s="68" customFormat="1" x14ac:dyDescent="0.2">
      <c r="A6" s="2"/>
      <c r="B6" s="308" t="s">
        <v>15</v>
      </c>
      <c r="C6" s="384" t="s">
        <v>691</v>
      </c>
      <c r="D6" s="384"/>
      <c r="E6" s="384"/>
      <c r="F6" s="384"/>
      <c r="G6" s="384"/>
      <c r="H6" s="384"/>
      <c r="I6" s="385"/>
      <c r="K6" s="272" t="s">
        <v>11</v>
      </c>
      <c r="L6" s="365"/>
      <c r="M6" s="365"/>
      <c r="N6" s="365"/>
      <c r="O6" s="365"/>
      <c r="P6" s="365"/>
      <c r="T6" s="2"/>
    </row>
    <row r="7" spans="1:24" s="68" customFormat="1" ht="15" customHeight="1" x14ac:dyDescent="0.2">
      <c r="A7" s="2"/>
      <c r="B7" s="308"/>
      <c r="C7" s="384" t="s">
        <v>21</v>
      </c>
      <c r="D7" s="384"/>
      <c r="E7" s="384"/>
      <c r="F7" s="384"/>
      <c r="G7" s="384"/>
      <c r="H7" s="384"/>
      <c r="I7" s="385"/>
      <c r="K7" s="272" t="s">
        <v>17</v>
      </c>
      <c r="L7" s="365"/>
      <c r="M7" s="365"/>
      <c r="N7" s="365"/>
      <c r="O7" s="365"/>
      <c r="P7" s="365"/>
      <c r="T7" s="2"/>
    </row>
    <row r="8" spans="1:24" s="68" customFormat="1" ht="15" customHeight="1" x14ac:dyDescent="0.2">
      <c r="A8" s="2"/>
      <c r="B8" s="308"/>
      <c r="C8" s="384" t="s">
        <v>26</v>
      </c>
      <c r="D8" s="384"/>
      <c r="E8" s="384"/>
      <c r="F8" s="384"/>
      <c r="G8" s="384"/>
      <c r="H8" s="384"/>
      <c r="I8" s="385"/>
      <c r="K8" s="272" t="s">
        <v>22</v>
      </c>
      <c r="L8" s="365"/>
      <c r="M8" s="365"/>
      <c r="N8" s="365"/>
      <c r="O8" s="365"/>
      <c r="P8" s="365"/>
      <c r="T8" s="2"/>
    </row>
    <row r="9" spans="1:24" ht="15" customHeight="1" x14ac:dyDescent="0.2">
      <c r="B9" s="261" t="s">
        <v>30</v>
      </c>
      <c r="C9" s="259" t="s">
        <v>692</v>
      </c>
      <c r="F9" s="68"/>
      <c r="G9" s="68"/>
      <c r="I9" s="117"/>
      <c r="J9" s="68"/>
      <c r="K9" s="68"/>
      <c r="L9" s="68"/>
      <c r="N9" s="68"/>
      <c r="O9" s="68"/>
      <c r="P9" s="68"/>
      <c r="Q9" s="68"/>
      <c r="R9" s="68"/>
      <c r="S9" s="68"/>
    </row>
    <row r="10" spans="1:24" ht="15" customHeight="1" x14ac:dyDescent="0.2">
      <c r="B10" s="260" t="s">
        <v>35</v>
      </c>
      <c r="C10" s="259" t="s">
        <v>693</v>
      </c>
      <c r="F10" s="68"/>
      <c r="G10" s="68"/>
      <c r="I10" s="117"/>
      <c r="K10" s="272" t="s">
        <v>32</v>
      </c>
      <c r="L10" s="365"/>
      <c r="M10" s="365"/>
      <c r="N10" s="365"/>
      <c r="O10" s="365"/>
      <c r="P10" s="365"/>
      <c r="Q10" s="68"/>
      <c r="R10" s="68"/>
      <c r="S10" s="68"/>
    </row>
    <row r="11" spans="1:24" ht="15" customHeight="1" x14ac:dyDescent="0.2">
      <c r="B11" s="260" t="s">
        <v>40</v>
      </c>
      <c r="C11" s="259" t="s">
        <v>694</v>
      </c>
      <c r="I11" s="118"/>
      <c r="K11" s="274" t="s">
        <v>37</v>
      </c>
      <c r="L11" s="365"/>
      <c r="M11" s="365"/>
      <c r="N11" s="365"/>
      <c r="O11" s="365"/>
      <c r="P11" s="365"/>
      <c r="Q11" s="68"/>
      <c r="R11" s="68"/>
      <c r="S11" s="68"/>
    </row>
    <row r="12" spans="1:24" ht="15" customHeight="1" x14ac:dyDescent="0.2">
      <c r="B12" s="291"/>
      <c r="C12" s="259" t="s">
        <v>695</v>
      </c>
      <c r="I12" s="118"/>
      <c r="J12" s="68"/>
      <c r="M12" s="68"/>
      <c r="N12" s="68"/>
      <c r="Q12" s="68"/>
      <c r="R12" s="68"/>
      <c r="S12" s="68"/>
    </row>
    <row r="13" spans="1:24" ht="15" customHeight="1" x14ac:dyDescent="0.2">
      <c r="B13" s="260" t="s">
        <v>48</v>
      </c>
      <c r="C13" s="259" t="s">
        <v>696</v>
      </c>
      <c r="I13" s="118"/>
      <c r="J13" s="68"/>
      <c r="K13" s="274" t="s">
        <v>45</v>
      </c>
      <c r="L13" s="283"/>
      <c r="M13" s="68"/>
      <c r="N13" s="68"/>
      <c r="Q13" s="68"/>
      <c r="R13" s="68"/>
      <c r="S13" s="68"/>
    </row>
    <row r="14" spans="1:24" ht="15" customHeight="1" x14ac:dyDescent="0.2">
      <c r="B14" s="260" t="s">
        <v>54</v>
      </c>
      <c r="C14" s="259" t="s">
        <v>697</v>
      </c>
      <c r="I14" s="118"/>
      <c r="J14" s="68"/>
      <c r="K14" s="124" t="s">
        <v>50</v>
      </c>
      <c r="L14" s="386" t="s">
        <v>51</v>
      </c>
      <c r="M14" s="68"/>
      <c r="N14" s="68"/>
      <c r="Q14" s="68"/>
      <c r="R14" s="68"/>
      <c r="S14" s="68"/>
    </row>
    <row r="15" spans="1:24" ht="15" customHeight="1" x14ac:dyDescent="0.2">
      <c r="B15" s="260" t="s">
        <v>59</v>
      </c>
      <c r="C15" s="259" t="s">
        <v>698</v>
      </c>
      <c r="I15" s="118"/>
      <c r="J15" s="68"/>
      <c r="K15" s="125" t="s">
        <v>56</v>
      </c>
      <c r="L15" s="284">
        <f>'Lighting Savings'!L14</f>
        <v>0.11</v>
      </c>
      <c r="M15" s="68"/>
      <c r="N15" s="68"/>
      <c r="Q15" s="68"/>
      <c r="R15" s="68"/>
      <c r="S15" s="68"/>
    </row>
    <row r="16" spans="1:24" ht="15" customHeight="1" x14ac:dyDescent="0.2">
      <c r="B16" s="260" t="s">
        <v>699</v>
      </c>
      <c r="C16" s="259" t="s">
        <v>700</v>
      </c>
      <c r="I16" s="118"/>
      <c r="J16" s="68"/>
      <c r="K16" s="125" t="s">
        <v>701</v>
      </c>
      <c r="L16" s="284">
        <v>0.6</v>
      </c>
      <c r="M16" s="68"/>
      <c r="N16" s="68"/>
      <c r="Q16" s="68"/>
      <c r="R16" s="68"/>
      <c r="S16" s="68"/>
    </row>
    <row r="17" spans="2:25" ht="15" customHeight="1" x14ac:dyDescent="0.2">
      <c r="B17" s="262"/>
      <c r="C17" s="292" t="s">
        <v>702</v>
      </c>
      <c r="D17" s="293"/>
      <c r="E17" s="293"/>
      <c r="F17" s="293"/>
      <c r="G17" s="293"/>
      <c r="H17" s="293"/>
      <c r="I17" s="119"/>
      <c r="J17" s="68"/>
      <c r="K17" s="125"/>
      <c r="L17" s="309"/>
      <c r="M17" s="68"/>
      <c r="N17" s="68"/>
      <c r="Q17" s="68"/>
      <c r="R17" s="68"/>
      <c r="S17" s="68"/>
    </row>
    <row r="18" spans="2:25" ht="15" customHeight="1" thickBot="1" x14ac:dyDescent="0.25"/>
    <row r="19" spans="2:25" ht="15.75" customHeight="1" x14ac:dyDescent="0.2">
      <c r="B19" s="381" t="s">
        <v>703</v>
      </c>
      <c r="C19" s="382"/>
      <c r="D19" s="382"/>
      <c r="E19" s="382"/>
      <c r="F19" s="382"/>
      <c r="G19" s="382"/>
      <c r="H19" s="382"/>
      <c r="I19" s="383"/>
      <c r="J19" s="381" t="s">
        <v>64</v>
      </c>
      <c r="K19" s="382"/>
      <c r="L19" s="383"/>
      <c r="M19" s="381" t="s">
        <v>66</v>
      </c>
      <c r="N19" s="382"/>
      <c r="O19" s="382"/>
      <c r="P19" s="382"/>
      <c r="Q19" s="382"/>
      <c r="R19" s="382"/>
      <c r="S19" s="383"/>
      <c r="T19" s="242"/>
      <c r="U19" s="242"/>
      <c r="V19" s="242"/>
      <c r="W19" s="242"/>
      <c r="X19" s="242"/>
      <c r="Y19" s="294"/>
    </row>
    <row r="20" spans="2:25" s="9" customFormat="1" ht="39" thickBot="1" x14ac:dyDescent="0.25">
      <c r="B20" s="199" t="s">
        <v>67</v>
      </c>
      <c r="C20" s="6" t="s">
        <v>68</v>
      </c>
      <c r="D20" s="357" t="s">
        <v>704</v>
      </c>
      <c r="E20" s="357" t="s">
        <v>705</v>
      </c>
      <c r="F20" s="357" t="s">
        <v>706</v>
      </c>
      <c r="G20" s="243" t="s">
        <v>707</v>
      </c>
      <c r="H20" s="357" t="s">
        <v>708</v>
      </c>
      <c r="I20" s="358" t="s">
        <v>709</v>
      </c>
      <c r="J20" s="246" t="s">
        <v>710</v>
      </c>
      <c r="K20" s="368" t="s">
        <v>711</v>
      </c>
      <c r="L20" s="380"/>
      <c r="M20" s="97" t="s">
        <v>93</v>
      </c>
      <c r="N20" s="98" t="s">
        <v>94</v>
      </c>
      <c r="O20" s="98" t="s">
        <v>712</v>
      </c>
      <c r="P20" s="98" t="s">
        <v>95</v>
      </c>
      <c r="Q20" s="98" t="s">
        <v>96</v>
      </c>
      <c r="R20" s="98" t="s">
        <v>97</v>
      </c>
      <c r="S20" s="238" t="s">
        <v>101</v>
      </c>
      <c r="T20" s="126" t="s">
        <v>713</v>
      </c>
      <c r="U20" s="244" t="s">
        <v>714</v>
      </c>
      <c r="V20" s="244" t="s">
        <v>715</v>
      </c>
      <c r="W20" s="244" t="s">
        <v>716</v>
      </c>
      <c r="X20" s="244" t="s">
        <v>717</v>
      </c>
      <c r="Y20" s="295" t="s">
        <v>103</v>
      </c>
    </row>
    <row r="21" spans="2:25" s="100" customFormat="1" ht="15" customHeight="1" x14ac:dyDescent="0.25">
      <c r="B21" s="196">
        <v>1</v>
      </c>
      <c r="C21" s="101"/>
      <c r="D21" s="101"/>
      <c r="E21" s="296" t="str">
        <f>IF(D21&lt;&gt;"",VLOOKUP(D21,'Criteria-SBP'!$B$114:$R$184,9,FALSE),"")</f>
        <v/>
      </c>
      <c r="F21" s="302"/>
      <c r="G21" s="241"/>
      <c r="H21" s="252"/>
      <c r="I21" s="153" t="str">
        <f t="shared" ref="I21:I52" si="0">IF(AND(F21&gt;0,H21&gt;0),F21*H21,IF(OR(F21&lt;&gt;"",H21&lt;&gt;""),F21*H21,""))</f>
        <v/>
      </c>
      <c r="J21" s="344" t="str">
        <f>IF(D21&lt;&gt;"",VLOOKUP(D21,'Criteria-SBP'!$B$114:$P$184,15,FALSE),"")</f>
        <v/>
      </c>
      <c r="K21" s="345" t="str">
        <f>IF(D21&lt;&gt;"",VLOOKUP(D21,'Criteria-SBP'!$B$114:$P$184,8,FALSE),"")</f>
        <v/>
      </c>
      <c r="L21" s="346" t="str">
        <f>IF(D21&lt;&gt;"","/ "&amp;VLOOKUP(D21,'Criteria-SBP'!$B$114:$P$184,9,FALSE),"")</f>
        <v/>
      </c>
      <c r="M21" s="341" t="str">
        <f>IF($D21&lt;&gt;"",IF(AND(U21="Yes",G21&lt;&gt;""),V21*F21,VLOOKUP($D21,'Criteria-SBP'!$B$114:$R$184,12,FALSE)*$F21),"")</f>
        <v/>
      </c>
      <c r="N21" s="342" t="str">
        <f>IF($D21&lt;&gt;"",IF(AND(U21="Yes",G21&lt;&gt;""),W21*F21,VLOOKUP($D21,'Criteria-SBP'!$B$114:$R$184,13,FALSE)*$F21),"")</f>
        <v/>
      </c>
      <c r="O21" s="342" t="str">
        <f>IF($D21&lt;&gt;"",IF(AND(U21="Yes",G21&lt;&gt;""),X21*F21,VLOOKUP($D21,'Criteria-SBP'!$B$114:$R$184,14,FALSE)*$F21),"")</f>
        <v/>
      </c>
      <c r="P21" s="343" t="str">
        <f t="shared" ref="P21" si="1">IF(D21&lt;&gt;"",N21*$L$15+O21*$L$16,"")</f>
        <v/>
      </c>
      <c r="Q21" s="170" t="str">
        <f t="shared" ref="Q21" si="2">IF(AND(I21&lt;&gt;"",P21&gt;0),I21/P21,"")</f>
        <v/>
      </c>
      <c r="R21" s="171" t="str">
        <f t="shared" ref="R21" si="3">IF(AND(F21&gt;0,K21&gt;0),MIN(F21*K21,I21*T21),IF(OR(F21&lt;&gt;"",K21&lt;&gt;""),MIN(F21*K21,I21*T21),""))</f>
        <v/>
      </c>
      <c r="S21" s="187" t="str">
        <f t="shared" ref="S21" si="4">IF(AND(I21&lt;&gt;"",P21&gt;0),(I21-R21)/P21,"")</f>
        <v/>
      </c>
      <c r="T21" s="111" t="str">
        <f>IF($D21&lt;&gt;"",VLOOKUP($D21,'Criteria-SBP'!$B$114:$P$184,11,FALSE),"")</f>
        <v/>
      </c>
      <c r="U21" s="297" t="str">
        <f>IF(D21&lt;&gt;"",VLOOKUP(D21,'Criteria-SBP'!$B$114:$R$184,16,FALSE),"")</f>
        <v/>
      </c>
      <c r="V21" s="298" t="str">
        <f>IF(U21="Yes",VLOOKUP(D21,'Criteria-SBP'!$B$114:$R$184,12,FALSE) / VLOOKUP(D21,'Criteria-SBP'!$B$118:$R$184,17,FALSE) * G21,"")</f>
        <v/>
      </c>
      <c r="W21" s="298" t="str">
        <f>IF(U21="Yes",VLOOKUP(D21,'Criteria-SBP'!$B$114:$R$184,13,FALSE) / VLOOKUP(D21,'Criteria-SBP'!$B$118:$R$184,17,FALSE) * G21,"")</f>
        <v/>
      </c>
      <c r="X21" s="298" t="str">
        <f>IF(U21="Yes",VLOOKUP(D21,'Criteria-SBP'!$B$114:$R$184,14,FALSE) / VLOOKUP(D21,'Criteria-SBP'!$B$118:$R$184,17,FALSE) * G21,"")</f>
        <v/>
      </c>
      <c r="Y21" s="248"/>
    </row>
    <row r="22" spans="2:25" s="100" customFormat="1" ht="15" customHeight="1" x14ac:dyDescent="0.25">
      <c r="B22" s="197">
        <v>2</v>
      </c>
      <c r="C22" s="239"/>
      <c r="D22" s="101"/>
      <c r="E22" s="296" t="str">
        <f>IF(D22&lt;&gt;"",VLOOKUP(D22,'Criteria-SBP'!$B$114:$R$184,9,FALSE),"")</f>
        <v/>
      </c>
      <c r="F22" s="303"/>
      <c r="G22" s="240"/>
      <c r="H22" s="253"/>
      <c r="I22" s="153" t="str">
        <f t="shared" si="0"/>
        <v/>
      </c>
      <c r="J22" s="197" t="str">
        <f>IF(D22&lt;&gt;"",VLOOKUP(D22,'Criteria-SBP'!$B$114:$P$184,15,FALSE),"")</f>
        <v/>
      </c>
      <c r="K22" s="157" t="str">
        <f>IF(D22&lt;&gt;"",VLOOKUP(D22,'Criteria-SBP'!$B$114:$P$184,8,FALSE),"")</f>
        <v/>
      </c>
      <c r="L22" s="251" t="str">
        <f>IF(D22&lt;&gt;"","/ "&amp;VLOOKUP(D22,'Criteria-SBP'!$B$114:$P$184,9,FALSE),"")</f>
        <v/>
      </c>
      <c r="M22" s="255" t="str">
        <f>IF($D22&lt;&gt;"",IF(AND(U22="Yes",G22&lt;&gt;""),V22*F22,VLOOKUP($D22,'Criteria-SBP'!$B$114:$R$184,12,FALSE)*$F22),"")</f>
        <v/>
      </c>
      <c r="N22" s="250" t="str">
        <f>IF($D22&lt;&gt;"",IF(AND(U22="Yes",G22&lt;&gt;""),W22*F22,VLOOKUP($D22,'Criteria-SBP'!$B$114:$R$184,13,FALSE)*$F22),"")</f>
        <v/>
      </c>
      <c r="O22" s="250" t="str">
        <f>IF($D22&lt;&gt;"",IF(AND(U22="Yes",G22&lt;&gt;""),X22*F22,VLOOKUP($D22,'Criteria-SBP'!$B$114:$R$184,14,FALSE)*$F22),"")</f>
        <v/>
      </c>
      <c r="P22" s="178" t="str">
        <f t="shared" ref="P22:P70" si="5">IF(D22&lt;&gt;"",N22*$L$15+O22*$L$16,"")</f>
        <v/>
      </c>
      <c r="Q22" s="170" t="str">
        <f t="shared" ref="Q22:Q70" si="6">IF(AND(I22&lt;&gt;"",P22&gt;0),I22/P22,"")</f>
        <v/>
      </c>
      <c r="R22" s="171" t="str">
        <f t="shared" ref="R22:R70" si="7">IF(AND(F22&gt;0,K22&gt;0),MIN(F22*K22,I22*T22),IF(OR(F22&lt;&gt;"",K22&lt;&gt;""),MIN(F22*K22,I22*T22),""))</f>
        <v/>
      </c>
      <c r="S22" s="187" t="str">
        <f t="shared" ref="S22:S70" si="8">IF(AND(I22&lt;&gt;"",P22&gt;0),(I22-R22)/P22,"")</f>
        <v/>
      </c>
      <c r="T22" s="111" t="str">
        <f>IF($D22&lt;&gt;"",VLOOKUP($D22,'Criteria-SBP'!$B$114:$P$184,11,FALSE),"")</f>
        <v/>
      </c>
      <c r="U22" s="297" t="str">
        <f>IF(D22&lt;&gt;"",VLOOKUP(D22,'Criteria-SBP'!$B$114:$R$184,16,FALSE),"")</f>
        <v/>
      </c>
      <c r="V22" s="298" t="str">
        <f>IF(U22="Yes",VLOOKUP(D22,'Criteria-SBP'!$B$114:$R$184,12,FALSE) / VLOOKUP(D22,'Criteria-SBP'!$B$118:$R$184,17,FALSE) * G22,"")</f>
        <v/>
      </c>
      <c r="W22" s="298" t="str">
        <f>IF(U22="Yes",VLOOKUP(D22,'Criteria-SBP'!$B$114:$R$184,13,FALSE) / VLOOKUP(D22,'Criteria-SBP'!$B$118:$R$184,17,FALSE) * G22,"")</f>
        <v/>
      </c>
      <c r="X22" s="298" t="str">
        <f>IF(U22="Yes",VLOOKUP(D22,'Criteria-SBP'!$B$114:$R$184,14,FALSE) / VLOOKUP(D22,'Criteria-SBP'!$B$118:$R$184,17,FALSE) * G22,"")</f>
        <v/>
      </c>
      <c r="Y22" s="248"/>
    </row>
    <row r="23" spans="2:25" ht="15" customHeight="1" x14ac:dyDescent="0.2">
      <c r="B23" s="197">
        <v>3</v>
      </c>
      <c r="C23" s="239"/>
      <c r="D23" s="101"/>
      <c r="E23" s="296" t="str">
        <f>IF(D23&lt;&gt;"",VLOOKUP(D23,'Criteria-SBP'!$B$114:$R$184,9,FALSE),"")</f>
        <v/>
      </c>
      <c r="F23" s="303"/>
      <c r="G23" s="304"/>
      <c r="H23" s="253"/>
      <c r="I23" s="153" t="str">
        <f t="shared" si="0"/>
        <v/>
      </c>
      <c r="J23" s="197" t="str">
        <f>IF(D23&lt;&gt;"",VLOOKUP(D23,'Criteria-SBP'!$B$114:$P$184,15,FALSE),"")</f>
        <v/>
      </c>
      <c r="K23" s="157" t="str">
        <f>IF(D23&lt;&gt;"",VLOOKUP(D23,'Criteria-SBP'!$B$114:$P$184,8,FALSE),"")</f>
        <v/>
      </c>
      <c r="L23" s="251" t="str">
        <f>IF(D23&lt;&gt;"","/ "&amp;VLOOKUP(D23,'Criteria-SBP'!$B$114:$P$184,9,FALSE),"")</f>
        <v/>
      </c>
      <c r="M23" s="255" t="str">
        <f>IF($D23&lt;&gt;"",IF(AND(U23="Yes",G23&lt;&gt;""),V23*F23,VLOOKUP($D23,'Criteria-SBP'!$B$114:$R$184,12,FALSE)*$F23),"")</f>
        <v/>
      </c>
      <c r="N23" s="250" t="str">
        <f>IF($D23&lt;&gt;"",IF(AND(U23="Yes",G23&lt;&gt;""),W23*F23,VLOOKUP($D23,'Criteria-SBP'!$B$114:$R$184,13,FALSE)*$F23),"")</f>
        <v/>
      </c>
      <c r="O23" s="250" t="str">
        <f>IF($D23&lt;&gt;"",IF(AND(U23="Yes",G23&lt;&gt;""),X23*F23,VLOOKUP($D23,'Criteria-SBP'!$B$114:$R$184,14,FALSE)*$F23),"")</f>
        <v/>
      </c>
      <c r="P23" s="178" t="str">
        <f t="shared" si="5"/>
        <v/>
      </c>
      <c r="Q23" s="170" t="str">
        <f t="shared" si="6"/>
        <v/>
      </c>
      <c r="R23" s="171" t="str">
        <f t="shared" si="7"/>
        <v/>
      </c>
      <c r="S23" s="187" t="str">
        <f t="shared" si="8"/>
        <v/>
      </c>
      <c r="T23" s="111" t="str">
        <f>IF($D23&lt;&gt;"",VLOOKUP($D23,'Criteria-SBP'!$B$114:$P$184,11,FALSE),"")</f>
        <v/>
      </c>
      <c r="U23" s="297" t="str">
        <f>IF(D23&lt;&gt;"",VLOOKUP(D23,'Criteria-SBP'!$B$114:$R$184,16,FALSE),"")</f>
        <v/>
      </c>
      <c r="V23" s="298" t="str">
        <f>IF(U23="Yes",VLOOKUP(D23,'Criteria-SBP'!$B$114:$R$184,12,FALSE) / VLOOKUP(D23,'Criteria-SBP'!$B$118:$R$184,17,FALSE) * G23,"")</f>
        <v/>
      </c>
      <c r="W23" s="298" t="str">
        <f>IF(U23="Yes",VLOOKUP(D23,'Criteria-SBP'!$B$114:$R$184,13,FALSE) / VLOOKUP(D23,'Criteria-SBP'!$B$118:$R$184,17,FALSE) * G23,"")</f>
        <v/>
      </c>
      <c r="X23" s="298" t="str">
        <f>IF(U23="Yes",VLOOKUP(D23,'Criteria-SBP'!$B$114:$R$184,14,FALSE) / VLOOKUP(D23,'Criteria-SBP'!$B$118:$R$184,17,FALSE) * G23,"")</f>
        <v/>
      </c>
      <c r="Y23" s="248"/>
    </row>
    <row r="24" spans="2:25" ht="15" customHeight="1" x14ac:dyDescent="0.2">
      <c r="B24" s="197">
        <v>4</v>
      </c>
      <c r="C24" s="239"/>
      <c r="D24" s="101"/>
      <c r="E24" s="296" t="str">
        <f>IF(D24&lt;&gt;"",VLOOKUP(D24,'Criteria-SBP'!$B$114:$R$184,9,FALSE),"")</f>
        <v/>
      </c>
      <c r="F24" s="303"/>
      <c r="G24" s="304"/>
      <c r="H24" s="253"/>
      <c r="I24" s="153" t="str">
        <f t="shared" si="0"/>
        <v/>
      </c>
      <c r="J24" s="197" t="str">
        <f>IF(D24&lt;&gt;"",VLOOKUP(D24,'Criteria-SBP'!$B$114:$P$184,15,FALSE),"")</f>
        <v/>
      </c>
      <c r="K24" s="157" t="str">
        <f>IF(D24&lt;&gt;"",VLOOKUP(D24,'Criteria-SBP'!$B$114:$P$184,8,FALSE),"")</f>
        <v/>
      </c>
      <c r="L24" s="251" t="str">
        <f>IF(D24&lt;&gt;"","/ "&amp;VLOOKUP(D24,'Criteria-SBP'!$B$114:$P$184,9,FALSE),"")</f>
        <v/>
      </c>
      <c r="M24" s="255" t="str">
        <f>IF($D24&lt;&gt;"",IF(AND(U24="Yes",G24&lt;&gt;""),V24*F24,VLOOKUP($D24,'Criteria-SBP'!$B$114:$R$184,12,FALSE)*$F24),"")</f>
        <v/>
      </c>
      <c r="N24" s="250" t="str">
        <f>IF($D24&lt;&gt;"",IF(AND(U24="Yes",G24&lt;&gt;""),W24*F24,VLOOKUP($D24,'Criteria-SBP'!$B$114:$R$184,13,FALSE)*$F24),"")</f>
        <v/>
      </c>
      <c r="O24" s="250" t="str">
        <f>IF($D24&lt;&gt;"",IF(AND(U24="Yes",G24&lt;&gt;""),X24*F24,VLOOKUP($D24,'Criteria-SBP'!$B$114:$R$184,14,FALSE)*$F24),"")</f>
        <v/>
      </c>
      <c r="P24" s="178" t="str">
        <f t="shared" si="5"/>
        <v/>
      </c>
      <c r="Q24" s="170" t="str">
        <f t="shared" si="6"/>
        <v/>
      </c>
      <c r="R24" s="171" t="str">
        <f t="shared" si="7"/>
        <v/>
      </c>
      <c r="S24" s="187" t="str">
        <f t="shared" si="8"/>
        <v/>
      </c>
      <c r="T24" s="111" t="str">
        <f>IF($D24&lt;&gt;"",VLOOKUP($D24,'Criteria-SBP'!$B$114:$P$184,11,FALSE),"")</f>
        <v/>
      </c>
      <c r="U24" s="297" t="str">
        <f>IF(D24&lt;&gt;"",VLOOKUP(D24,'Criteria-SBP'!$B$114:$R$184,16,FALSE),"")</f>
        <v/>
      </c>
      <c r="V24" s="298" t="str">
        <f>IF(U24="Yes",VLOOKUP(D24,'Criteria-SBP'!$B$114:$R$184,12,FALSE) / VLOOKUP(D24,'Criteria-SBP'!$B$118:$R$184,17,FALSE) * G24,"")</f>
        <v/>
      </c>
      <c r="W24" s="298" t="str">
        <f>IF(U24="Yes",VLOOKUP(D24,'Criteria-SBP'!$B$114:$R$184,13,FALSE) / VLOOKUP(D24,'Criteria-SBP'!$B$118:$R$184,17,FALSE) * G24,"")</f>
        <v/>
      </c>
      <c r="X24" s="298" t="str">
        <f>IF(U24="Yes",VLOOKUP(D24,'Criteria-SBP'!$B$114:$R$184,14,FALSE) / VLOOKUP(D24,'Criteria-SBP'!$B$118:$R$184,17,FALSE) * G24,"")</f>
        <v/>
      </c>
      <c r="Y24" s="248"/>
    </row>
    <row r="25" spans="2:25" ht="15" customHeight="1" x14ac:dyDescent="0.2">
      <c r="B25" s="197">
        <v>5</v>
      </c>
      <c r="C25" s="239"/>
      <c r="D25" s="101"/>
      <c r="E25" s="296" t="str">
        <f>IF(D25&lt;&gt;"",VLOOKUP(D25,'Criteria-SBP'!$B$114:$R$184,9,FALSE),"")</f>
        <v/>
      </c>
      <c r="F25" s="303"/>
      <c r="G25" s="304"/>
      <c r="H25" s="253"/>
      <c r="I25" s="153" t="str">
        <f t="shared" si="0"/>
        <v/>
      </c>
      <c r="J25" s="197" t="str">
        <f>IF(D25&lt;&gt;"",VLOOKUP(D25,'Criteria-SBP'!$B$114:$P$184,15,FALSE),"")</f>
        <v/>
      </c>
      <c r="K25" s="157" t="str">
        <f>IF(D25&lt;&gt;"",VLOOKUP(D25,'Criteria-SBP'!$B$114:$P$184,8,FALSE),"")</f>
        <v/>
      </c>
      <c r="L25" s="251" t="str">
        <f>IF(D25&lt;&gt;"","/ "&amp;VLOOKUP(D25,'Criteria-SBP'!$B$114:$P$184,9,FALSE),"")</f>
        <v/>
      </c>
      <c r="M25" s="255" t="str">
        <f>IF($D25&lt;&gt;"",IF(AND(U25="Yes",G25&lt;&gt;""),V25*F25,VLOOKUP($D25,'Criteria-SBP'!$B$114:$R$184,12,FALSE)*$F25),"")</f>
        <v/>
      </c>
      <c r="N25" s="250" t="str">
        <f>IF($D25&lt;&gt;"",IF(AND(U25="Yes",G25&lt;&gt;""),W25*F25,VLOOKUP($D25,'Criteria-SBP'!$B$114:$R$184,13,FALSE)*$F25),"")</f>
        <v/>
      </c>
      <c r="O25" s="250" t="str">
        <f>IF($D25&lt;&gt;"",IF(AND(U25="Yes",G25&lt;&gt;""),X25*F25,VLOOKUP($D25,'Criteria-SBP'!$B$114:$R$184,14,FALSE)*$F25),"")</f>
        <v/>
      </c>
      <c r="P25" s="178" t="str">
        <f t="shared" si="5"/>
        <v/>
      </c>
      <c r="Q25" s="170" t="str">
        <f t="shared" si="6"/>
        <v/>
      </c>
      <c r="R25" s="171" t="str">
        <f t="shared" si="7"/>
        <v/>
      </c>
      <c r="S25" s="187" t="str">
        <f t="shared" si="8"/>
        <v/>
      </c>
      <c r="T25" s="111" t="str">
        <f>IF($D25&lt;&gt;"",VLOOKUP($D25,'Criteria-SBP'!$B$114:$P$184,11,FALSE),"")</f>
        <v/>
      </c>
      <c r="U25" s="297" t="str">
        <f>IF(D25&lt;&gt;"",VLOOKUP(D25,'Criteria-SBP'!$B$114:$R$184,16,FALSE),"")</f>
        <v/>
      </c>
      <c r="V25" s="298" t="str">
        <f>IF(U25="Yes",VLOOKUP(D25,'Criteria-SBP'!$B$114:$R$184,12,FALSE) / VLOOKUP(D25,'Criteria-SBP'!$B$118:$R$184,17,FALSE) * G25,"")</f>
        <v/>
      </c>
      <c r="W25" s="298" t="str">
        <f>IF(U25="Yes",VLOOKUP(D25,'Criteria-SBP'!$B$114:$R$184,13,FALSE) / VLOOKUP(D25,'Criteria-SBP'!$B$118:$R$184,17,FALSE) * G25,"")</f>
        <v/>
      </c>
      <c r="X25" s="298" t="str">
        <f>IF(U25="Yes",VLOOKUP(D25,'Criteria-SBP'!$B$114:$R$184,14,FALSE) / VLOOKUP(D25,'Criteria-SBP'!$B$118:$R$184,17,FALSE) * G25,"")</f>
        <v/>
      </c>
      <c r="Y25" s="248"/>
    </row>
    <row r="26" spans="2:25" ht="15" customHeight="1" x14ac:dyDescent="0.2">
      <c r="B26" s="197">
        <v>6</v>
      </c>
      <c r="C26" s="239"/>
      <c r="D26" s="101"/>
      <c r="E26" s="296" t="str">
        <f>IF(D26&lt;&gt;"",VLOOKUP(D26,'Criteria-SBP'!$B$114:$R$184,9,FALSE),"")</f>
        <v/>
      </c>
      <c r="F26" s="303"/>
      <c r="G26" s="304"/>
      <c r="H26" s="253"/>
      <c r="I26" s="153" t="str">
        <f t="shared" si="0"/>
        <v/>
      </c>
      <c r="J26" s="197" t="str">
        <f>IF(D26&lt;&gt;"",VLOOKUP(D26,'Criteria-SBP'!$B$114:$P$184,15,FALSE),"")</f>
        <v/>
      </c>
      <c r="K26" s="157" t="str">
        <f>IF(D26&lt;&gt;"",VLOOKUP(D26,'Criteria-SBP'!$B$114:$P$184,8,FALSE),"")</f>
        <v/>
      </c>
      <c r="L26" s="251" t="str">
        <f>IF(D26&lt;&gt;"","/ "&amp;VLOOKUP(D26,'Criteria-SBP'!$B$114:$P$184,9,FALSE),"")</f>
        <v/>
      </c>
      <c r="M26" s="255" t="str">
        <f>IF($D26&lt;&gt;"",IF(AND(U26="Yes",G26&lt;&gt;""),V26*F26,VLOOKUP($D26,'Criteria-SBP'!$B$114:$R$184,12,FALSE)*$F26),"")</f>
        <v/>
      </c>
      <c r="N26" s="250" t="str">
        <f>IF($D26&lt;&gt;"",IF(AND(U26="Yes",G26&lt;&gt;""),W26*F26,VLOOKUP($D26,'Criteria-SBP'!$B$114:$R$184,13,FALSE)*$F26),"")</f>
        <v/>
      </c>
      <c r="O26" s="250" t="str">
        <f>IF($D26&lt;&gt;"",IF(AND(U26="Yes",G26&lt;&gt;""),X26*F26,VLOOKUP($D26,'Criteria-SBP'!$B$114:$R$184,14,FALSE)*$F26),"")</f>
        <v/>
      </c>
      <c r="P26" s="178" t="str">
        <f t="shared" si="5"/>
        <v/>
      </c>
      <c r="Q26" s="170" t="str">
        <f t="shared" si="6"/>
        <v/>
      </c>
      <c r="R26" s="171" t="str">
        <f t="shared" si="7"/>
        <v/>
      </c>
      <c r="S26" s="187" t="str">
        <f t="shared" si="8"/>
        <v/>
      </c>
      <c r="T26" s="111" t="str">
        <f>IF($D26&lt;&gt;"",VLOOKUP($D26,'Criteria-SBP'!$B$114:$P$184,11,FALSE),"")</f>
        <v/>
      </c>
      <c r="U26" s="297" t="str">
        <f>IF(D26&lt;&gt;"",VLOOKUP(D26,'Criteria-SBP'!$B$114:$R$184,16,FALSE),"")</f>
        <v/>
      </c>
      <c r="V26" s="298" t="str">
        <f>IF(U26="Yes",VLOOKUP(D26,'Criteria-SBP'!$B$114:$R$184,12,FALSE) / VLOOKUP(D26,'Criteria-SBP'!$B$118:$R$184,17,FALSE) * G26,"")</f>
        <v/>
      </c>
      <c r="W26" s="298" t="str">
        <f>IF(U26="Yes",VLOOKUP(D26,'Criteria-SBP'!$B$114:$R$184,13,FALSE) / VLOOKUP(D26,'Criteria-SBP'!$B$118:$R$184,17,FALSE) * G26,"")</f>
        <v/>
      </c>
      <c r="X26" s="298" t="str">
        <f>IF(U26="Yes",VLOOKUP(D26,'Criteria-SBP'!$B$114:$R$184,14,FALSE) / VLOOKUP(D26,'Criteria-SBP'!$B$118:$R$184,17,FALSE) * G26,"")</f>
        <v/>
      </c>
      <c r="Y26" s="248"/>
    </row>
    <row r="27" spans="2:25" ht="15" customHeight="1" x14ac:dyDescent="0.2">
      <c r="B27" s="197">
        <v>7</v>
      </c>
      <c r="C27" s="239"/>
      <c r="D27" s="101"/>
      <c r="E27" s="296" t="str">
        <f>IF(D27&lt;&gt;"",VLOOKUP(D27,'Criteria-SBP'!$B$114:$R$184,9,FALSE),"")</f>
        <v/>
      </c>
      <c r="F27" s="303"/>
      <c r="G27" s="304"/>
      <c r="H27" s="253"/>
      <c r="I27" s="153" t="str">
        <f t="shared" si="0"/>
        <v/>
      </c>
      <c r="J27" s="197" t="str">
        <f>IF(D27&lt;&gt;"",VLOOKUP(D27,'Criteria-SBP'!$B$114:$P$184,15,FALSE),"")</f>
        <v/>
      </c>
      <c r="K27" s="157" t="str">
        <f>IF(D27&lt;&gt;"",VLOOKUP(D27,'Criteria-SBP'!$B$114:$P$184,8,FALSE),"")</f>
        <v/>
      </c>
      <c r="L27" s="251" t="str">
        <f>IF(D27&lt;&gt;"","/ "&amp;VLOOKUP(D27,'Criteria-SBP'!$B$114:$P$184,9,FALSE),"")</f>
        <v/>
      </c>
      <c r="M27" s="255" t="str">
        <f>IF($D27&lt;&gt;"",IF(AND(U27="Yes",G27&lt;&gt;""),V27*F27,VLOOKUP($D27,'Criteria-SBP'!$B$114:$R$184,12,FALSE)*$F27),"")</f>
        <v/>
      </c>
      <c r="N27" s="250" t="str">
        <f>IF($D27&lt;&gt;"",IF(AND(U27="Yes",G27&lt;&gt;""),W27*F27,VLOOKUP($D27,'Criteria-SBP'!$B$114:$R$184,13,FALSE)*$F27),"")</f>
        <v/>
      </c>
      <c r="O27" s="250" t="str">
        <f>IF($D27&lt;&gt;"",IF(AND(U27="Yes",G27&lt;&gt;""),X27*F27,VLOOKUP($D27,'Criteria-SBP'!$B$114:$R$184,14,FALSE)*$F27),"")</f>
        <v/>
      </c>
      <c r="P27" s="178" t="str">
        <f t="shared" si="5"/>
        <v/>
      </c>
      <c r="Q27" s="170" t="str">
        <f t="shared" si="6"/>
        <v/>
      </c>
      <c r="R27" s="171" t="str">
        <f t="shared" si="7"/>
        <v/>
      </c>
      <c r="S27" s="187" t="str">
        <f t="shared" si="8"/>
        <v/>
      </c>
      <c r="T27" s="111" t="str">
        <f>IF($D27&lt;&gt;"",VLOOKUP($D27,'Criteria-SBP'!$B$114:$P$184,11,FALSE),"")</f>
        <v/>
      </c>
      <c r="U27" s="297" t="str">
        <f>IF(D27&lt;&gt;"",VLOOKUP(D27,'Criteria-SBP'!$B$114:$R$184,16,FALSE),"")</f>
        <v/>
      </c>
      <c r="V27" s="298" t="str">
        <f>IF(U27="Yes",VLOOKUP(D27,'Criteria-SBP'!$B$114:$R$184,12,FALSE) / VLOOKUP(D27,'Criteria-SBP'!$B$118:$R$184,17,FALSE) * G27,"")</f>
        <v/>
      </c>
      <c r="W27" s="298" t="str">
        <f>IF(U27="Yes",VLOOKUP(D27,'Criteria-SBP'!$B$114:$R$184,13,FALSE) / VLOOKUP(D27,'Criteria-SBP'!$B$118:$R$184,17,FALSE) * G27,"")</f>
        <v/>
      </c>
      <c r="X27" s="298" t="str">
        <f>IF(U27="Yes",VLOOKUP(D27,'Criteria-SBP'!$B$114:$R$184,14,FALSE) / VLOOKUP(D27,'Criteria-SBP'!$B$118:$R$184,17,FALSE) * G27,"")</f>
        <v/>
      </c>
      <c r="Y27" s="248"/>
    </row>
    <row r="28" spans="2:25" ht="15" customHeight="1" x14ac:dyDescent="0.2">
      <c r="B28" s="197">
        <v>8</v>
      </c>
      <c r="C28" s="239"/>
      <c r="D28" s="101"/>
      <c r="E28" s="296" t="str">
        <f>IF(D28&lt;&gt;"",VLOOKUP(D28,'Criteria-SBP'!$B$114:$R$184,9,FALSE),"")</f>
        <v/>
      </c>
      <c r="F28" s="303"/>
      <c r="G28" s="304"/>
      <c r="H28" s="253"/>
      <c r="I28" s="153" t="str">
        <f t="shared" si="0"/>
        <v/>
      </c>
      <c r="J28" s="197" t="str">
        <f>IF(D28&lt;&gt;"",VLOOKUP(D28,'Criteria-SBP'!$B$114:$P$184,15,FALSE),"")</f>
        <v/>
      </c>
      <c r="K28" s="157" t="str">
        <f>IF(D28&lt;&gt;"",VLOOKUP(D28,'Criteria-SBP'!$B$114:$P$184,8,FALSE),"")</f>
        <v/>
      </c>
      <c r="L28" s="251" t="str">
        <f>IF(D28&lt;&gt;"","/ "&amp;VLOOKUP(D28,'Criteria-SBP'!$B$114:$P$184,9,FALSE),"")</f>
        <v/>
      </c>
      <c r="M28" s="255" t="str">
        <f>IF($D28&lt;&gt;"",IF(AND(U28="Yes",G28&lt;&gt;""),V28*F28,VLOOKUP($D28,'Criteria-SBP'!$B$114:$R$184,12,FALSE)*$F28),"")</f>
        <v/>
      </c>
      <c r="N28" s="250" t="str">
        <f>IF($D28&lt;&gt;"",IF(AND(U28="Yes",G28&lt;&gt;""),W28*F28,VLOOKUP($D28,'Criteria-SBP'!$B$114:$R$184,13,FALSE)*$F28),"")</f>
        <v/>
      </c>
      <c r="O28" s="250" t="str">
        <f>IF($D28&lt;&gt;"",IF(AND(U28="Yes",G28&lt;&gt;""),X28*F28,VLOOKUP($D28,'Criteria-SBP'!$B$114:$R$184,14,FALSE)*$F28),"")</f>
        <v/>
      </c>
      <c r="P28" s="178" t="str">
        <f t="shared" si="5"/>
        <v/>
      </c>
      <c r="Q28" s="170" t="str">
        <f t="shared" si="6"/>
        <v/>
      </c>
      <c r="R28" s="171" t="str">
        <f t="shared" si="7"/>
        <v/>
      </c>
      <c r="S28" s="187" t="str">
        <f t="shared" si="8"/>
        <v/>
      </c>
      <c r="T28" s="111" t="str">
        <f>IF($D28&lt;&gt;"",VLOOKUP($D28,'Criteria-SBP'!$B$114:$P$184,11,FALSE),"")</f>
        <v/>
      </c>
      <c r="U28" s="297" t="str">
        <f>IF(D28&lt;&gt;"",VLOOKUP(D28,'Criteria-SBP'!$B$114:$R$184,16,FALSE),"")</f>
        <v/>
      </c>
      <c r="V28" s="298" t="str">
        <f>IF(U28="Yes",VLOOKUP(D28,'Criteria-SBP'!$B$114:$R$184,12,FALSE) / VLOOKUP(D28,'Criteria-SBP'!$B$118:$R$184,17,FALSE) * G28,"")</f>
        <v/>
      </c>
      <c r="W28" s="298" t="str">
        <f>IF(U28="Yes",VLOOKUP(D28,'Criteria-SBP'!$B$114:$R$184,13,FALSE) / VLOOKUP(D28,'Criteria-SBP'!$B$118:$R$184,17,FALSE) * G28,"")</f>
        <v/>
      </c>
      <c r="X28" s="298" t="str">
        <f>IF(U28="Yes",VLOOKUP(D28,'Criteria-SBP'!$B$114:$R$184,14,FALSE) / VLOOKUP(D28,'Criteria-SBP'!$B$118:$R$184,17,FALSE) * G28,"")</f>
        <v/>
      </c>
      <c r="Y28" s="248"/>
    </row>
    <row r="29" spans="2:25" ht="15" customHeight="1" x14ac:dyDescent="0.2">
      <c r="B29" s="197">
        <v>9</v>
      </c>
      <c r="C29" s="239"/>
      <c r="D29" s="101"/>
      <c r="E29" s="296" t="str">
        <f>IF(D29&lt;&gt;"",VLOOKUP(D29,'Criteria-SBP'!$B$114:$R$184,9,FALSE),"")</f>
        <v/>
      </c>
      <c r="F29" s="303"/>
      <c r="G29" s="304"/>
      <c r="H29" s="253"/>
      <c r="I29" s="153" t="str">
        <f t="shared" si="0"/>
        <v/>
      </c>
      <c r="J29" s="197" t="str">
        <f>IF(D29&lt;&gt;"",VLOOKUP(D29,'Criteria-SBP'!$B$114:$P$184,15,FALSE),"")</f>
        <v/>
      </c>
      <c r="K29" s="157" t="str">
        <f>IF(D29&lt;&gt;"",VLOOKUP(D29,'Criteria-SBP'!$B$114:$P$184,8,FALSE),"")</f>
        <v/>
      </c>
      <c r="L29" s="251" t="str">
        <f>IF(D29&lt;&gt;"","/ "&amp;VLOOKUP(D29,'Criteria-SBP'!$B$114:$P$184,9,FALSE),"")</f>
        <v/>
      </c>
      <c r="M29" s="255" t="str">
        <f>IF($D29&lt;&gt;"",IF(AND(U29="Yes",G29&lt;&gt;""),V29*F29,VLOOKUP($D29,'Criteria-SBP'!$B$114:$R$184,12,FALSE)*$F29),"")</f>
        <v/>
      </c>
      <c r="N29" s="250" t="str">
        <f>IF($D29&lt;&gt;"",IF(AND(U29="Yes",G29&lt;&gt;""),W29*F29,VLOOKUP($D29,'Criteria-SBP'!$B$114:$R$184,13,FALSE)*$F29),"")</f>
        <v/>
      </c>
      <c r="O29" s="250" t="str">
        <f>IF($D29&lt;&gt;"",IF(AND(U29="Yes",G29&lt;&gt;""),X29*F29,VLOOKUP($D29,'Criteria-SBP'!$B$114:$R$184,14,FALSE)*$F29),"")</f>
        <v/>
      </c>
      <c r="P29" s="178" t="str">
        <f t="shared" si="5"/>
        <v/>
      </c>
      <c r="Q29" s="170" t="str">
        <f t="shared" si="6"/>
        <v/>
      </c>
      <c r="R29" s="171" t="str">
        <f t="shared" si="7"/>
        <v/>
      </c>
      <c r="S29" s="187" t="str">
        <f t="shared" si="8"/>
        <v/>
      </c>
      <c r="T29" s="111" t="str">
        <f>IF($D29&lt;&gt;"",VLOOKUP($D29,'Criteria-SBP'!$B$114:$P$184,11,FALSE),"")</f>
        <v/>
      </c>
      <c r="U29" s="297" t="str">
        <f>IF(D29&lt;&gt;"",VLOOKUP(D29,'Criteria-SBP'!$B$114:$R$184,16,FALSE),"")</f>
        <v/>
      </c>
      <c r="V29" s="298" t="str">
        <f>IF(U29="Yes",VLOOKUP(D29,'Criteria-SBP'!$B$114:$R$184,12,FALSE) / VLOOKUP(D29,'Criteria-SBP'!$B$118:$R$184,17,FALSE) * G29,"")</f>
        <v/>
      </c>
      <c r="W29" s="298" t="str">
        <f>IF(U29="Yes",VLOOKUP(D29,'Criteria-SBP'!$B$114:$R$184,13,FALSE) / VLOOKUP(D29,'Criteria-SBP'!$B$118:$R$184,17,FALSE) * G29,"")</f>
        <v/>
      </c>
      <c r="X29" s="298" t="str">
        <f>IF(U29="Yes",VLOOKUP(D29,'Criteria-SBP'!$B$114:$R$184,14,FALSE) / VLOOKUP(D29,'Criteria-SBP'!$B$118:$R$184,17,FALSE) * G29,"")</f>
        <v/>
      </c>
      <c r="Y29" s="248"/>
    </row>
    <row r="30" spans="2:25" ht="15" customHeight="1" x14ac:dyDescent="0.2">
      <c r="B30" s="197">
        <v>10</v>
      </c>
      <c r="C30" s="239"/>
      <c r="D30" s="101"/>
      <c r="E30" s="296" t="str">
        <f>IF(D30&lt;&gt;"",VLOOKUP(D30,'Criteria-SBP'!$B$114:$R$184,9,FALSE),"")</f>
        <v/>
      </c>
      <c r="F30" s="303"/>
      <c r="G30" s="304"/>
      <c r="H30" s="253"/>
      <c r="I30" s="153" t="str">
        <f t="shared" si="0"/>
        <v/>
      </c>
      <c r="J30" s="197" t="str">
        <f>IF(D30&lt;&gt;"",VLOOKUP(D30,'Criteria-SBP'!$B$114:$P$184,15,FALSE),"")</f>
        <v/>
      </c>
      <c r="K30" s="157" t="str">
        <f>IF(D30&lt;&gt;"",VLOOKUP(D30,'Criteria-SBP'!$B$114:$P$184,8,FALSE),"")</f>
        <v/>
      </c>
      <c r="L30" s="251" t="str">
        <f>IF(D30&lt;&gt;"","/ "&amp;VLOOKUP(D30,'Criteria-SBP'!$B$114:$P$184,9,FALSE),"")</f>
        <v/>
      </c>
      <c r="M30" s="255" t="str">
        <f>IF($D30&lt;&gt;"",IF(AND(U30="Yes",G30&lt;&gt;""),V30*F30,VLOOKUP($D30,'Criteria-SBP'!$B$114:$R$184,12,FALSE)*$F30),"")</f>
        <v/>
      </c>
      <c r="N30" s="250" t="str">
        <f>IF($D30&lt;&gt;"",IF(AND(U30="Yes",G30&lt;&gt;""),W30*F30,VLOOKUP($D30,'Criteria-SBP'!$B$114:$R$184,13,FALSE)*$F30),"")</f>
        <v/>
      </c>
      <c r="O30" s="250" t="str">
        <f>IF($D30&lt;&gt;"",IF(AND(U30="Yes",G30&lt;&gt;""),X30*F30,VLOOKUP($D30,'Criteria-SBP'!$B$114:$R$184,14,FALSE)*$F30),"")</f>
        <v/>
      </c>
      <c r="P30" s="178" t="str">
        <f t="shared" si="5"/>
        <v/>
      </c>
      <c r="Q30" s="170" t="str">
        <f t="shared" si="6"/>
        <v/>
      </c>
      <c r="R30" s="171" t="str">
        <f t="shared" si="7"/>
        <v/>
      </c>
      <c r="S30" s="187" t="str">
        <f t="shared" si="8"/>
        <v/>
      </c>
      <c r="T30" s="111" t="str">
        <f>IF($D30&lt;&gt;"",VLOOKUP($D30,'Criteria-SBP'!$B$114:$P$184,11,FALSE),"")</f>
        <v/>
      </c>
      <c r="U30" s="297" t="str">
        <f>IF(D30&lt;&gt;"",VLOOKUP(D30,'Criteria-SBP'!$B$114:$R$184,16,FALSE),"")</f>
        <v/>
      </c>
      <c r="V30" s="298" t="str">
        <f>IF(U30="Yes",VLOOKUP(D30,'Criteria-SBP'!$B$114:$R$184,12,FALSE) / VLOOKUP(D30,'Criteria-SBP'!$B$118:$R$184,17,FALSE) * G30,"")</f>
        <v/>
      </c>
      <c r="W30" s="298" t="str">
        <f>IF(U30="Yes",VLOOKUP(D30,'Criteria-SBP'!$B$114:$R$184,13,FALSE) / VLOOKUP(D30,'Criteria-SBP'!$B$118:$R$184,17,FALSE) * G30,"")</f>
        <v/>
      </c>
      <c r="X30" s="298" t="str">
        <f>IF(U30="Yes",VLOOKUP(D30,'Criteria-SBP'!$B$114:$R$184,14,FALSE) / VLOOKUP(D30,'Criteria-SBP'!$B$118:$R$184,17,FALSE) * G30,"")</f>
        <v/>
      </c>
      <c r="Y30" s="248"/>
    </row>
    <row r="31" spans="2:25" ht="15" customHeight="1" x14ac:dyDescent="0.2">
      <c r="B31" s="197">
        <v>11</v>
      </c>
      <c r="C31" s="239"/>
      <c r="D31" s="101"/>
      <c r="E31" s="296" t="str">
        <f>IF(D31&lt;&gt;"",VLOOKUP(D31,'Criteria-SBP'!$B$114:$R$184,9,FALSE),"")</f>
        <v/>
      </c>
      <c r="F31" s="303"/>
      <c r="G31" s="304"/>
      <c r="H31" s="253"/>
      <c r="I31" s="153" t="str">
        <f t="shared" si="0"/>
        <v/>
      </c>
      <c r="J31" s="197" t="str">
        <f>IF(D31&lt;&gt;"",VLOOKUP(D31,'Criteria-SBP'!$B$114:$P$184,15,FALSE),"")</f>
        <v/>
      </c>
      <c r="K31" s="157" t="str">
        <f>IF(D31&lt;&gt;"",VLOOKUP(D31,'Criteria-SBP'!$B$114:$P$184,8,FALSE),"")</f>
        <v/>
      </c>
      <c r="L31" s="251" t="str">
        <f>IF(D31&lt;&gt;"","/ "&amp;VLOOKUP(D31,'Criteria-SBP'!$B$114:$P$184,9,FALSE),"")</f>
        <v/>
      </c>
      <c r="M31" s="255" t="str">
        <f>IF($D31&lt;&gt;"",IF(AND(U31="Yes",G31&lt;&gt;""),V31*F31,VLOOKUP($D31,'Criteria-SBP'!$B$114:$R$184,12,FALSE)*$F31),"")</f>
        <v/>
      </c>
      <c r="N31" s="250" t="str">
        <f>IF($D31&lt;&gt;"",IF(AND(U31="Yes",G31&lt;&gt;""),W31*F31,VLOOKUP($D31,'Criteria-SBP'!$B$114:$R$184,13,FALSE)*$F31),"")</f>
        <v/>
      </c>
      <c r="O31" s="250" t="str">
        <f>IF($D31&lt;&gt;"",IF(AND(U31="Yes",G31&lt;&gt;""),X31*F31,VLOOKUP($D31,'Criteria-SBP'!$B$114:$R$184,14,FALSE)*$F31),"")</f>
        <v/>
      </c>
      <c r="P31" s="178" t="str">
        <f t="shared" si="5"/>
        <v/>
      </c>
      <c r="Q31" s="170" t="str">
        <f t="shared" si="6"/>
        <v/>
      </c>
      <c r="R31" s="171" t="str">
        <f t="shared" si="7"/>
        <v/>
      </c>
      <c r="S31" s="187" t="str">
        <f t="shared" si="8"/>
        <v/>
      </c>
      <c r="T31" s="111" t="str">
        <f>IF($D31&lt;&gt;"",VLOOKUP($D31,'Criteria-SBP'!$B$114:$P$184,11,FALSE),"")</f>
        <v/>
      </c>
      <c r="U31" s="297" t="str">
        <f>IF(D31&lt;&gt;"",VLOOKUP(D31,'Criteria-SBP'!$B$114:$R$184,16,FALSE),"")</f>
        <v/>
      </c>
      <c r="V31" s="298" t="str">
        <f>IF(U31="Yes",VLOOKUP(D31,'Criteria-SBP'!$B$114:$R$184,12,FALSE) / VLOOKUP(D31,'Criteria-SBP'!$B$118:$R$184,17,FALSE) * G31,"")</f>
        <v/>
      </c>
      <c r="W31" s="298" t="str">
        <f>IF(U31="Yes",VLOOKUP(D31,'Criteria-SBP'!$B$114:$R$184,13,FALSE) / VLOOKUP(D31,'Criteria-SBP'!$B$118:$R$184,17,FALSE) * G31,"")</f>
        <v/>
      </c>
      <c r="X31" s="298" t="str">
        <f>IF(U31="Yes",VLOOKUP(D31,'Criteria-SBP'!$B$114:$R$184,14,FALSE) / VLOOKUP(D31,'Criteria-SBP'!$B$118:$R$184,17,FALSE) * G31,"")</f>
        <v/>
      </c>
      <c r="Y31" s="248"/>
    </row>
    <row r="32" spans="2:25" ht="15" customHeight="1" x14ac:dyDescent="0.2">
      <c r="B32" s="197">
        <v>12</v>
      </c>
      <c r="C32" s="239"/>
      <c r="D32" s="101"/>
      <c r="E32" s="296" t="str">
        <f>IF(D32&lt;&gt;"",VLOOKUP(D32,'Criteria-SBP'!$B$114:$R$184,9,FALSE),"")</f>
        <v/>
      </c>
      <c r="F32" s="303"/>
      <c r="G32" s="304"/>
      <c r="H32" s="253"/>
      <c r="I32" s="153" t="str">
        <f t="shared" si="0"/>
        <v/>
      </c>
      <c r="J32" s="197" t="str">
        <f>IF(D32&lt;&gt;"",VLOOKUP(D32,'Criteria-SBP'!$B$114:$P$184,15,FALSE),"")</f>
        <v/>
      </c>
      <c r="K32" s="157" t="str">
        <f>IF(D32&lt;&gt;"",VLOOKUP(D32,'Criteria-SBP'!$B$114:$P$184,8,FALSE),"")</f>
        <v/>
      </c>
      <c r="L32" s="251" t="str">
        <f>IF(D32&lt;&gt;"","/ "&amp;VLOOKUP(D32,'Criteria-SBP'!$B$114:$P$184,9,FALSE),"")</f>
        <v/>
      </c>
      <c r="M32" s="255" t="str">
        <f>IF($D32&lt;&gt;"",IF(AND(U32="Yes",G32&lt;&gt;""),V32*F32,VLOOKUP($D32,'Criteria-SBP'!$B$114:$R$184,12,FALSE)*$F32),"")</f>
        <v/>
      </c>
      <c r="N32" s="250" t="str">
        <f>IF($D32&lt;&gt;"",IF(AND(U32="Yes",G32&lt;&gt;""),W32*F32,VLOOKUP($D32,'Criteria-SBP'!$B$114:$R$184,13,FALSE)*$F32),"")</f>
        <v/>
      </c>
      <c r="O32" s="250" t="str">
        <f>IF($D32&lt;&gt;"",IF(AND(U32="Yes",G32&lt;&gt;""),X32*F32,VLOOKUP($D32,'Criteria-SBP'!$B$114:$R$184,14,FALSE)*$F32),"")</f>
        <v/>
      </c>
      <c r="P32" s="178" t="str">
        <f t="shared" si="5"/>
        <v/>
      </c>
      <c r="Q32" s="170" t="str">
        <f t="shared" si="6"/>
        <v/>
      </c>
      <c r="R32" s="171" t="str">
        <f t="shared" si="7"/>
        <v/>
      </c>
      <c r="S32" s="187" t="str">
        <f t="shared" si="8"/>
        <v/>
      </c>
      <c r="T32" s="111" t="str">
        <f>IF($D32&lt;&gt;"",VLOOKUP($D32,'Criteria-SBP'!$B$114:$P$184,11,FALSE),"")</f>
        <v/>
      </c>
      <c r="U32" s="297" t="str">
        <f>IF(D32&lt;&gt;"",VLOOKUP(D32,'Criteria-SBP'!$B$114:$R$184,16,FALSE),"")</f>
        <v/>
      </c>
      <c r="V32" s="298" t="str">
        <f>IF(U32="Yes",VLOOKUP(D32,'Criteria-SBP'!$B$114:$R$184,12,FALSE) / VLOOKUP(D32,'Criteria-SBP'!$B$118:$R$184,17,FALSE) * G32,"")</f>
        <v/>
      </c>
      <c r="W32" s="298" t="str">
        <f>IF(U32="Yes",VLOOKUP(D32,'Criteria-SBP'!$B$114:$R$184,13,FALSE) / VLOOKUP(D32,'Criteria-SBP'!$B$118:$R$184,17,FALSE) * G32,"")</f>
        <v/>
      </c>
      <c r="X32" s="298" t="str">
        <f>IF(U32="Yes",VLOOKUP(D32,'Criteria-SBP'!$B$114:$R$184,14,FALSE) / VLOOKUP(D32,'Criteria-SBP'!$B$118:$R$184,17,FALSE) * G32,"")</f>
        <v/>
      </c>
      <c r="Y32" s="248"/>
    </row>
    <row r="33" spans="2:25" ht="15" customHeight="1" x14ac:dyDescent="0.2">
      <c r="B33" s="197">
        <v>13</v>
      </c>
      <c r="C33" s="239"/>
      <c r="D33" s="101"/>
      <c r="E33" s="296" t="str">
        <f>IF(D33&lt;&gt;"",VLOOKUP(D33,'Criteria-SBP'!$B$114:$R$184,9,FALSE),"")</f>
        <v/>
      </c>
      <c r="F33" s="303"/>
      <c r="G33" s="304"/>
      <c r="H33" s="253"/>
      <c r="I33" s="153" t="str">
        <f t="shared" si="0"/>
        <v/>
      </c>
      <c r="J33" s="197" t="str">
        <f>IF(D33&lt;&gt;"",VLOOKUP(D33,'Criteria-SBP'!$B$114:$P$184,15,FALSE),"")</f>
        <v/>
      </c>
      <c r="K33" s="157" t="str">
        <f>IF(D33&lt;&gt;"",VLOOKUP(D33,'Criteria-SBP'!$B$114:$P$184,8,FALSE),"")</f>
        <v/>
      </c>
      <c r="L33" s="251" t="str">
        <f>IF(D33&lt;&gt;"","/ "&amp;VLOOKUP(D33,'Criteria-SBP'!$B$114:$P$184,9,FALSE),"")</f>
        <v/>
      </c>
      <c r="M33" s="255" t="str">
        <f>IF($D33&lt;&gt;"",IF(AND(U33="Yes",G33&lt;&gt;""),V33*F33,VLOOKUP($D33,'Criteria-SBP'!$B$114:$R$184,12,FALSE)*$F33),"")</f>
        <v/>
      </c>
      <c r="N33" s="250" t="str">
        <f>IF($D33&lt;&gt;"",IF(AND(U33="Yes",G33&lt;&gt;""),W33*F33,VLOOKUP($D33,'Criteria-SBP'!$B$114:$R$184,13,FALSE)*$F33),"")</f>
        <v/>
      </c>
      <c r="O33" s="250" t="str">
        <f>IF($D33&lt;&gt;"",IF(AND(U33="Yes",G33&lt;&gt;""),X33*F33,VLOOKUP($D33,'Criteria-SBP'!$B$114:$R$184,14,FALSE)*$F33),"")</f>
        <v/>
      </c>
      <c r="P33" s="178" t="str">
        <f t="shared" si="5"/>
        <v/>
      </c>
      <c r="Q33" s="170" t="str">
        <f t="shared" si="6"/>
        <v/>
      </c>
      <c r="R33" s="171" t="str">
        <f t="shared" si="7"/>
        <v/>
      </c>
      <c r="S33" s="187" t="str">
        <f t="shared" si="8"/>
        <v/>
      </c>
      <c r="T33" s="111" t="str">
        <f>IF($D33&lt;&gt;"",VLOOKUP($D33,'Criteria-SBP'!$B$114:$P$184,11,FALSE),"")</f>
        <v/>
      </c>
      <c r="U33" s="297" t="str">
        <f>IF(D33&lt;&gt;"",VLOOKUP(D33,'Criteria-SBP'!$B$114:$R$184,16,FALSE),"")</f>
        <v/>
      </c>
      <c r="V33" s="298" t="str">
        <f>IF(U33="Yes",VLOOKUP(D33,'Criteria-SBP'!$B$114:$R$184,12,FALSE) / VLOOKUP(D33,'Criteria-SBP'!$B$118:$R$184,17,FALSE) * G33,"")</f>
        <v/>
      </c>
      <c r="W33" s="298" t="str">
        <f>IF(U33="Yes",VLOOKUP(D33,'Criteria-SBP'!$B$114:$R$184,13,FALSE) / VLOOKUP(D33,'Criteria-SBP'!$B$118:$R$184,17,FALSE) * G33,"")</f>
        <v/>
      </c>
      <c r="X33" s="298" t="str">
        <f>IF(U33="Yes",VLOOKUP(D33,'Criteria-SBP'!$B$114:$R$184,14,FALSE) / VLOOKUP(D33,'Criteria-SBP'!$B$118:$R$184,17,FALSE) * G33,"")</f>
        <v/>
      </c>
      <c r="Y33" s="248"/>
    </row>
    <row r="34" spans="2:25" ht="15" customHeight="1" x14ac:dyDescent="0.2">
      <c r="B34" s="197">
        <v>14</v>
      </c>
      <c r="C34" s="239"/>
      <c r="D34" s="101"/>
      <c r="E34" s="296" t="str">
        <f>IF(D34&lt;&gt;"",VLOOKUP(D34,'Criteria-SBP'!$B$114:$R$184,9,FALSE),"")</f>
        <v/>
      </c>
      <c r="F34" s="303"/>
      <c r="G34" s="304"/>
      <c r="H34" s="253"/>
      <c r="I34" s="153" t="str">
        <f t="shared" si="0"/>
        <v/>
      </c>
      <c r="J34" s="197" t="str">
        <f>IF(D34&lt;&gt;"",VLOOKUP(D34,'Criteria-SBP'!$B$114:$P$184,15,FALSE),"")</f>
        <v/>
      </c>
      <c r="K34" s="157" t="str">
        <f>IF(D34&lt;&gt;"",VLOOKUP(D34,'Criteria-SBP'!$B$114:$P$184,8,FALSE),"")</f>
        <v/>
      </c>
      <c r="L34" s="251" t="str">
        <f>IF(D34&lt;&gt;"","/ "&amp;VLOOKUP(D34,'Criteria-SBP'!$B$114:$P$184,9,FALSE),"")</f>
        <v/>
      </c>
      <c r="M34" s="255" t="str">
        <f>IF($D34&lt;&gt;"",IF(AND(U34="Yes",G34&lt;&gt;""),V34*F34,VLOOKUP($D34,'Criteria-SBP'!$B$114:$R$184,12,FALSE)*$F34),"")</f>
        <v/>
      </c>
      <c r="N34" s="250" t="str">
        <f>IF($D34&lt;&gt;"",IF(AND(U34="Yes",G34&lt;&gt;""),W34*F34,VLOOKUP($D34,'Criteria-SBP'!$B$114:$R$184,13,FALSE)*$F34),"")</f>
        <v/>
      </c>
      <c r="O34" s="250" t="str">
        <f>IF($D34&lt;&gt;"",IF(AND(U34="Yes",G34&lt;&gt;""),X34*F34,VLOOKUP($D34,'Criteria-SBP'!$B$114:$R$184,14,FALSE)*$F34),"")</f>
        <v/>
      </c>
      <c r="P34" s="178" t="str">
        <f t="shared" si="5"/>
        <v/>
      </c>
      <c r="Q34" s="170" t="str">
        <f t="shared" si="6"/>
        <v/>
      </c>
      <c r="R34" s="171" t="str">
        <f t="shared" si="7"/>
        <v/>
      </c>
      <c r="S34" s="187" t="str">
        <f t="shared" si="8"/>
        <v/>
      </c>
      <c r="T34" s="111" t="str">
        <f>IF($D34&lt;&gt;"",VLOOKUP($D34,'Criteria-SBP'!$B$114:$P$184,11,FALSE),"")</f>
        <v/>
      </c>
      <c r="U34" s="297" t="str">
        <f>IF(D34&lt;&gt;"",VLOOKUP(D34,'Criteria-SBP'!$B$114:$R$184,16,FALSE),"")</f>
        <v/>
      </c>
      <c r="V34" s="298" t="str">
        <f>IF(U34="Yes",VLOOKUP(D34,'Criteria-SBP'!$B$114:$R$184,12,FALSE) / VLOOKUP(D34,'Criteria-SBP'!$B$118:$R$184,17,FALSE) * G34,"")</f>
        <v/>
      </c>
      <c r="W34" s="298" t="str">
        <f>IF(U34="Yes",VLOOKUP(D34,'Criteria-SBP'!$B$114:$R$184,13,FALSE) / VLOOKUP(D34,'Criteria-SBP'!$B$118:$R$184,17,FALSE) * G34,"")</f>
        <v/>
      </c>
      <c r="X34" s="298" t="str">
        <f>IF(U34="Yes",VLOOKUP(D34,'Criteria-SBP'!$B$114:$R$184,14,FALSE) / VLOOKUP(D34,'Criteria-SBP'!$B$118:$R$184,17,FALSE) * G34,"")</f>
        <v/>
      </c>
      <c r="Y34" s="248"/>
    </row>
    <row r="35" spans="2:25" ht="15" customHeight="1" x14ac:dyDescent="0.2">
      <c r="B35" s="197">
        <v>15</v>
      </c>
      <c r="C35" s="239"/>
      <c r="D35" s="101"/>
      <c r="E35" s="296" t="str">
        <f>IF(D35&lt;&gt;"",VLOOKUP(D35,'Criteria-SBP'!$B$114:$R$184,9,FALSE),"")</f>
        <v/>
      </c>
      <c r="F35" s="303"/>
      <c r="G35" s="304"/>
      <c r="H35" s="253"/>
      <c r="I35" s="153" t="str">
        <f t="shared" si="0"/>
        <v/>
      </c>
      <c r="J35" s="197" t="str">
        <f>IF(D35&lt;&gt;"",VLOOKUP(D35,'Criteria-SBP'!$B$114:$P$184,15,FALSE),"")</f>
        <v/>
      </c>
      <c r="K35" s="157" t="str">
        <f>IF(D35&lt;&gt;"",VLOOKUP(D35,'Criteria-SBP'!$B$114:$P$184,8,FALSE),"")</f>
        <v/>
      </c>
      <c r="L35" s="251" t="str">
        <f>IF(D35&lt;&gt;"","/ "&amp;VLOOKUP(D35,'Criteria-SBP'!$B$114:$P$184,9,FALSE),"")</f>
        <v/>
      </c>
      <c r="M35" s="255" t="str">
        <f>IF($D35&lt;&gt;"",IF(AND(U35="Yes",G35&lt;&gt;""),V35*F35,VLOOKUP($D35,'Criteria-SBP'!$B$114:$R$184,12,FALSE)*$F35),"")</f>
        <v/>
      </c>
      <c r="N35" s="250" t="str">
        <f>IF($D35&lt;&gt;"",IF(AND(U35="Yes",G35&lt;&gt;""),W35*F35,VLOOKUP($D35,'Criteria-SBP'!$B$114:$R$184,13,FALSE)*$F35),"")</f>
        <v/>
      </c>
      <c r="O35" s="250" t="str">
        <f>IF($D35&lt;&gt;"",IF(AND(U35="Yes",G35&lt;&gt;""),X35*F35,VLOOKUP($D35,'Criteria-SBP'!$B$114:$R$184,14,FALSE)*$F35),"")</f>
        <v/>
      </c>
      <c r="P35" s="178" t="str">
        <f t="shared" si="5"/>
        <v/>
      </c>
      <c r="Q35" s="170" t="str">
        <f t="shared" si="6"/>
        <v/>
      </c>
      <c r="R35" s="171" t="str">
        <f t="shared" si="7"/>
        <v/>
      </c>
      <c r="S35" s="187" t="str">
        <f t="shared" si="8"/>
        <v/>
      </c>
      <c r="T35" s="111" t="str">
        <f>IF($D35&lt;&gt;"",VLOOKUP($D35,'Criteria-SBP'!$B$114:$P$184,11,FALSE),"")</f>
        <v/>
      </c>
      <c r="U35" s="297" t="str">
        <f>IF(D35&lt;&gt;"",VLOOKUP(D35,'Criteria-SBP'!$B$114:$R$184,16,FALSE),"")</f>
        <v/>
      </c>
      <c r="V35" s="298" t="str">
        <f>IF(U35="Yes",VLOOKUP(D35,'Criteria-SBP'!$B$114:$R$184,12,FALSE) / VLOOKUP(D35,'Criteria-SBP'!$B$118:$R$184,17,FALSE) * G35,"")</f>
        <v/>
      </c>
      <c r="W35" s="298" t="str">
        <f>IF(U35="Yes",VLOOKUP(D35,'Criteria-SBP'!$B$114:$R$184,13,FALSE) / VLOOKUP(D35,'Criteria-SBP'!$B$118:$R$184,17,FALSE) * G35,"")</f>
        <v/>
      </c>
      <c r="X35" s="298" t="str">
        <f>IF(U35="Yes",VLOOKUP(D35,'Criteria-SBP'!$B$114:$R$184,14,FALSE) / VLOOKUP(D35,'Criteria-SBP'!$B$118:$R$184,17,FALSE) * G35,"")</f>
        <v/>
      </c>
      <c r="Y35" s="248"/>
    </row>
    <row r="36" spans="2:25" ht="15" customHeight="1" x14ac:dyDescent="0.2">
      <c r="B36" s="197">
        <v>16</v>
      </c>
      <c r="C36" s="239"/>
      <c r="D36" s="101"/>
      <c r="E36" s="296" t="str">
        <f>IF(D36&lt;&gt;"",VLOOKUP(D36,'Criteria-SBP'!$B$114:$R$184,9,FALSE),"")</f>
        <v/>
      </c>
      <c r="F36" s="303"/>
      <c r="G36" s="304"/>
      <c r="H36" s="253"/>
      <c r="I36" s="153" t="str">
        <f t="shared" si="0"/>
        <v/>
      </c>
      <c r="J36" s="197" t="str">
        <f>IF(D36&lt;&gt;"",VLOOKUP(D36,'Criteria-SBP'!$B$114:$P$184,15,FALSE),"")</f>
        <v/>
      </c>
      <c r="K36" s="157" t="str">
        <f>IF(D36&lt;&gt;"",VLOOKUP(D36,'Criteria-SBP'!$B$114:$P$184,8,FALSE),"")</f>
        <v/>
      </c>
      <c r="L36" s="251" t="str">
        <f>IF(D36&lt;&gt;"","/ "&amp;VLOOKUP(D36,'Criteria-SBP'!$B$114:$P$184,9,FALSE),"")</f>
        <v/>
      </c>
      <c r="M36" s="255" t="str">
        <f>IF($D36&lt;&gt;"",IF(AND(U36="Yes",G36&lt;&gt;""),V36*F36,VLOOKUP($D36,'Criteria-SBP'!$B$114:$R$184,12,FALSE)*$F36),"")</f>
        <v/>
      </c>
      <c r="N36" s="250" t="str">
        <f>IF($D36&lt;&gt;"",IF(AND(U36="Yes",G36&lt;&gt;""),W36*F36,VLOOKUP($D36,'Criteria-SBP'!$B$114:$R$184,13,FALSE)*$F36),"")</f>
        <v/>
      </c>
      <c r="O36" s="250" t="str">
        <f>IF($D36&lt;&gt;"",IF(AND(U36="Yes",G36&lt;&gt;""),X36*F36,VLOOKUP($D36,'Criteria-SBP'!$B$114:$R$184,14,FALSE)*$F36),"")</f>
        <v/>
      </c>
      <c r="P36" s="178" t="str">
        <f t="shared" si="5"/>
        <v/>
      </c>
      <c r="Q36" s="170" t="str">
        <f t="shared" si="6"/>
        <v/>
      </c>
      <c r="R36" s="171" t="str">
        <f t="shared" si="7"/>
        <v/>
      </c>
      <c r="S36" s="187" t="str">
        <f t="shared" si="8"/>
        <v/>
      </c>
      <c r="T36" s="111" t="str">
        <f>IF($D36&lt;&gt;"",VLOOKUP($D36,'Criteria-SBP'!$B$114:$P$184,11,FALSE),"")</f>
        <v/>
      </c>
      <c r="U36" s="297" t="str">
        <f>IF(D36&lt;&gt;"",VLOOKUP(D36,'Criteria-SBP'!$B$114:$R$184,16,FALSE),"")</f>
        <v/>
      </c>
      <c r="V36" s="298" t="str">
        <f>IF(U36="Yes",VLOOKUP(D36,'Criteria-SBP'!$B$114:$R$184,12,FALSE) / VLOOKUP(D36,'Criteria-SBP'!$B$118:$R$184,17,FALSE) * G36,"")</f>
        <v/>
      </c>
      <c r="W36" s="298" t="str">
        <f>IF(U36="Yes",VLOOKUP(D36,'Criteria-SBP'!$B$114:$R$184,13,FALSE) / VLOOKUP(D36,'Criteria-SBP'!$B$118:$R$184,17,FALSE) * G36,"")</f>
        <v/>
      </c>
      <c r="X36" s="298" t="str">
        <f>IF(U36="Yes",VLOOKUP(D36,'Criteria-SBP'!$B$114:$R$184,14,FALSE) / VLOOKUP(D36,'Criteria-SBP'!$B$118:$R$184,17,FALSE) * G36,"")</f>
        <v/>
      </c>
      <c r="Y36" s="248"/>
    </row>
    <row r="37" spans="2:25" ht="15" customHeight="1" x14ac:dyDescent="0.2">
      <c r="B37" s="197">
        <v>17</v>
      </c>
      <c r="C37" s="239"/>
      <c r="D37" s="101"/>
      <c r="E37" s="296" t="str">
        <f>IF(D37&lt;&gt;"",VLOOKUP(D37,'Criteria-SBP'!$B$114:$R$184,9,FALSE),"")</f>
        <v/>
      </c>
      <c r="F37" s="303"/>
      <c r="G37" s="304"/>
      <c r="H37" s="253"/>
      <c r="I37" s="153" t="str">
        <f t="shared" si="0"/>
        <v/>
      </c>
      <c r="J37" s="197" t="str">
        <f>IF(D37&lt;&gt;"",VLOOKUP(D37,'Criteria-SBP'!$B$114:$P$184,15,FALSE),"")</f>
        <v/>
      </c>
      <c r="K37" s="157" t="str">
        <f>IF(D37&lt;&gt;"",VLOOKUP(D37,'Criteria-SBP'!$B$114:$P$184,8,FALSE),"")</f>
        <v/>
      </c>
      <c r="L37" s="251" t="str">
        <f>IF(D37&lt;&gt;"","/ "&amp;VLOOKUP(D37,'Criteria-SBP'!$B$114:$P$184,9,FALSE),"")</f>
        <v/>
      </c>
      <c r="M37" s="255" t="str">
        <f>IF($D37&lt;&gt;"",IF(AND(U37="Yes",G37&lt;&gt;""),V37*F37,VLOOKUP($D37,'Criteria-SBP'!$B$114:$R$184,12,FALSE)*$F37),"")</f>
        <v/>
      </c>
      <c r="N37" s="250" t="str">
        <f>IF($D37&lt;&gt;"",IF(AND(U37="Yes",G37&lt;&gt;""),W37*F37,VLOOKUP($D37,'Criteria-SBP'!$B$114:$R$184,13,FALSE)*$F37),"")</f>
        <v/>
      </c>
      <c r="O37" s="250" t="str">
        <f>IF($D37&lt;&gt;"",IF(AND(U37="Yes",G37&lt;&gt;""),X37*F37,VLOOKUP($D37,'Criteria-SBP'!$B$114:$R$184,14,FALSE)*$F37),"")</f>
        <v/>
      </c>
      <c r="P37" s="178" t="str">
        <f t="shared" si="5"/>
        <v/>
      </c>
      <c r="Q37" s="170" t="str">
        <f t="shared" si="6"/>
        <v/>
      </c>
      <c r="R37" s="171" t="str">
        <f t="shared" si="7"/>
        <v/>
      </c>
      <c r="S37" s="187" t="str">
        <f t="shared" si="8"/>
        <v/>
      </c>
      <c r="T37" s="111" t="str">
        <f>IF($D37&lt;&gt;"",VLOOKUP($D37,'Criteria-SBP'!$B$114:$P$184,11,FALSE),"")</f>
        <v/>
      </c>
      <c r="U37" s="297" t="str">
        <f>IF(D37&lt;&gt;"",VLOOKUP(D37,'Criteria-SBP'!$B$114:$R$184,16,FALSE),"")</f>
        <v/>
      </c>
      <c r="V37" s="298" t="str">
        <f>IF(U37="Yes",VLOOKUP(D37,'Criteria-SBP'!$B$114:$R$184,12,FALSE) / VLOOKUP(D37,'Criteria-SBP'!$B$118:$R$184,17,FALSE) * G37,"")</f>
        <v/>
      </c>
      <c r="W37" s="298" t="str">
        <f>IF(U37="Yes",VLOOKUP(D37,'Criteria-SBP'!$B$114:$R$184,13,FALSE) / VLOOKUP(D37,'Criteria-SBP'!$B$118:$R$184,17,FALSE) * G37,"")</f>
        <v/>
      </c>
      <c r="X37" s="298" t="str">
        <f>IF(U37="Yes",VLOOKUP(D37,'Criteria-SBP'!$B$114:$R$184,14,FALSE) / VLOOKUP(D37,'Criteria-SBP'!$B$118:$R$184,17,FALSE) * G37,"")</f>
        <v/>
      </c>
      <c r="Y37" s="248"/>
    </row>
    <row r="38" spans="2:25" ht="15" customHeight="1" x14ac:dyDescent="0.2">
      <c r="B38" s="197">
        <v>18</v>
      </c>
      <c r="C38" s="239"/>
      <c r="D38" s="101"/>
      <c r="E38" s="296" t="str">
        <f>IF(D38&lt;&gt;"",VLOOKUP(D38,'Criteria-SBP'!$B$114:$R$184,9,FALSE),"")</f>
        <v/>
      </c>
      <c r="F38" s="303"/>
      <c r="G38" s="304"/>
      <c r="H38" s="253"/>
      <c r="I38" s="153" t="str">
        <f t="shared" si="0"/>
        <v/>
      </c>
      <c r="J38" s="197" t="str">
        <f>IF(D38&lt;&gt;"",VLOOKUP(D38,'Criteria-SBP'!$B$114:$P$184,15,FALSE),"")</f>
        <v/>
      </c>
      <c r="K38" s="157" t="str">
        <f>IF(D38&lt;&gt;"",VLOOKUP(D38,'Criteria-SBP'!$B$114:$P$184,8,FALSE),"")</f>
        <v/>
      </c>
      <c r="L38" s="251" t="str">
        <f>IF(D38&lt;&gt;"","/ "&amp;VLOOKUP(D38,'Criteria-SBP'!$B$114:$P$184,9,FALSE),"")</f>
        <v/>
      </c>
      <c r="M38" s="255" t="str">
        <f>IF($D38&lt;&gt;"",IF(AND(U38="Yes",G38&lt;&gt;""),V38*F38,VLOOKUP($D38,'Criteria-SBP'!$B$114:$R$184,12,FALSE)*$F38),"")</f>
        <v/>
      </c>
      <c r="N38" s="250" t="str">
        <f>IF($D38&lt;&gt;"",IF(AND(U38="Yes",G38&lt;&gt;""),W38*F38,VLOOKUP($D38,'Criteria-SBP'!$B$114:$R$184,13,FALSE)*$F38),"")</f>
        <v/>
      </c>
      <c r="O38" s="250" t="str">
        <f>IF($D38&lt;&gt;"",IF(AND(U38="Yes",G38&lt;&gt;""),X38*F38,VLOOKUP($D38,'Criteria-SBP'!$B$114:$R$184,14,FALSE)*$F38),"")</f>
        <v/>
      </c>
      <c r="P38" s="178" t="str">
        <f t="shared" si="5"/>
        <v/>
      </c>
      <c r="Q38" s="170" t="str">
        <f t="shared" si="6"/>
        <v/>
      </c>
      <c r="R38" s="171" t="str">
        <f t="shared" si="7"/>
        <v/>
      </c>
      <c r="S38" s="187" t="str">
        <f t="shared" si="8"/>
        <v/>
      </c>
      <c r="T38" s="111" t="str">
        <f>IF($D38&lt;&gt;"",VLOOKUP($D38,'Criteria-SBP'!$B$114:$P$184,11,FALSE),"")</f>
        <v/>
      </c>
      <c r="U38" s="297" t="str">
        <f>IF(D38&lt;&gt;"",VLOOKUP(D38,'Criteria-SBP'!$B$114:$R$184,16,FALSE),"")</f>
        <v/>
      </c>
      <c r="V38" s="298" t="str">
        <f>IF(U38="Yes",VLOOKUP(D38,'Criteria-SBP'!$B$114:$R$184,12,FALSE) / VLOOKUP(D38,'Criteria-SBP'!$B$118:$R$184,17,FALSE) * G38,"")</f>
        <v/>
      </c>
      <c r="W38" s="298" t="str">
        <f>IF(U38="Yes",VLOOKUP(D38,'Criteria-SBP'!$B$114:$R$184,13,FALSE) / VLOOKUP(D38,'Criteria-SBP'!$B$118:$R$184,17,FALSE) * G38,"")</f>
        <v/>
      </c>
      <c r="X38" s="298" t="str">
        <f>IF(U38="Yes",VLOOKUP(D38,'Criteria-SBP'!$B$114:$R$184,14,FALSE) / VLOOKUP(D38,'Criteria-SBP'!$B$118:$R$184,17,FALSE) * G38,"")</f>
        <v/>
      </c>
      <c r="Y38" s="248"/>
    </row>
    <row r="39" spans="2:25" ht="15" customHeight="1" x14ac:dyDescent="0.2">
      <c r="B39" s="197">
        <v>19</v>
      </c>
      <c r="C39" s="239"/>
      <c r="D39" s="101"/>
      <c r="E39" s="296" t="str">
        <f>IF(D39&lt;&gt;"",VLOOKUP(D39,'Criteria-SBP'!$B$114:$R$184,9,FALSE),"")</f>
        <v/>
      </c>
      <c r="F39" s="303"/>
      <c r="G39" s="304"/>
      <c r="H39" s="253"/>
      <c r="I39" s="153" t="str">
        <f t="shared" si="0"/>
        <v/>
      </c>
      <c r="J39" s="197" t="str">
        <f>IF(D39&lt;&gt;"",VLOOKUP(D39,'Criteria-SBP'!$B$114:$P$184,15,FALSE),"")</f>
        <v/>
      </c>
      <c r="K39" s="157" t="str">
        <f>IF(D39&lt;&gt;"",VLOOKUP(D39,'Criteria-SBP'!$B$114:$P$184,8,FALSE),"")</f>
        <v/>
      </c>
      <c r="L39" s="251" t="str">
        <f>IF(D39&lt;&gt;"","/ "&amp;VLOOKUP(D39,'Criteria-SBP'!$B$114:$P$184,9,FALSE),"")</f>
        <v/>
      </c>
      <c r="M39" s="255" t="str">
        <f>IF($D39&lt;&gt;"",IF(AND(U39="Yes",G39&lt;&gt;""),V39*F39,VLOOKUP($D39,'Criteria-SBP'!$B$114:$R$184,12,FALSE)*$F39),"")</f>
        <v/>
      </c>
      <c r="N39" s="250" t="str">
        <f>IF($D39&lt;&gt;"",IF(AND(U39="Yes",G39&lt;&gt;""),W39*F39,VLOOKUP($D39,'Criteria-SBP'!$B$114:$R$184,13,FALSE)*$F39),"")</f>
        <v/>
      </c>
      <c r="O39" s="250" t="str">
        <f>IF($D39&lt;&gt;"",IF(AND(U39="Yes",G39&lt;&gt;""),X39*F39,VLOOKUP($D39,'Criteria-SBP'!$B$114:$R$184,14,FALSE)*$F39),"")</f>
        <v/>
      </c>
      <c r="P39" s="178" t="str">
        <f t="shared" si="5"/>
        <v/>
      </c>
      <c r="Q39" s="170" t="str">
        <f t="shared" si="6"/>
        <v/>
      </c>
      <c r="R39" s="171" t="str">
        <f t="shared" si="7"/>
        <v/>
      </c>
      <c r="S39" s="187" t="str">
        <f t="shared" si="8"/>
        <v/>
      </c>
      <c r="T39" s="111" t="str">
        <f>IF($D39&lt;&gt;"",VLOOKUP($D39,'Criteria-SBP'!$B$114:$P$184,11,FALSE),"")</f>
        <v/>
      </c>
      <c r="U39" s="297" t="str">
        <f>IF(D39&lt;&gt;"",VLOOKUP(D39,'Criteria-SBP'!$B$114:$R$184,16,FALSE),"")</f>
        <v/>
      </c>
      <c r="V39" s="298" t="str">
        <f>IF(U39="Yes",VLOOKUP(D39,'Criteria-SBP'!$B$114:$R$184,12,FALSE) / VLOOKUP(D39,'Criteria-SBP'!$B$118:$R$184,17,FALSE) * G39,"")</f>
        <v/>
      </c>
      <c r="W39" s="298" t="str">
        <f>IF(U39="Yes",VLOOKUP(D39,'Criteria-SBP'!$B$114:$R$184,13,FALSE) / VLOOKUP(D39,'Criteria-SBP'!$B$118:$R$184,17,FALSE) * G39,"")</f>
        <v/>
      </c>
      <c r="X39" s="298" t="str">
        <f>IF(U39="Yes",VLOOKUP(D39,'Criteria-SBP'!$B$114:$R$184,14,FALSE) / VLOOKUP(D39,'Criteria-SBP'!$B$118:$R$184,17,FALSE) * G39,"")</f>
        <v/>
      </c>
      <c r="Y39" s="248"/>
    </row>
    <row r="40" spans="2:25" ht="15" customHeight="1" x14ac:dyDescent="0.2">
      <c r="B40" s="197">
        <v>20</v>
      </c>
      <c r="C40" s="239"/>
      <c r="D40" s="101"/>
      <c r="E40" s="296" t="str">
        <f>IF(D40&lt;&gt;"",VLOOKUP(D40,'Criteria-SBP'!$B$114:$R$184,9,FALSE),"")</f>
        <v/>
      </c>
      <c r="F40" s="303"/>
      <c r="G40" s="304"/>
      <c r="H40" s="253"/>
      <c r="I40" s="153" t="str">
        <f t="shared" si="0"/>
        <v/>
      </c>
      <c r="J40" s="197" t="str">
        <f>IF(D40&lt;&gt;"",VLOOKUP(D40,'Criteria-SBP'!$B$114:$P$184,15,FALSE),"")</f>
        <v/>
      </c>
      <c r="K40" s="157" t="str">
        <f>IF(D40&lt;&gt;"",VLOOKUP(D40,'Criteria-SBP'!$B$114:$P$184,8,FALSE),"")</f>
        <v/>
      </c>
      <c r="L40" s="251" t="str">
        <f>IF(D40&lt;&gt;"","/ "&amp;VLOOKUP(D40,'Criteria-SBP'!$B$114:$P$184,9,FALSE),"")</f>
        <v/>
      </c>
      <c r="M40" s="255" t="str">
        <f>IF($D40&lt;&gt;"",IF(AND(U40="Yes",G40&lt;&gt;""),V40*F40,VLOOKUP($D40,'Criteria-SBP'!$B$114:$R$184,12,FALSE)*$F40),"")</f>
        <v/>
      </c>
      <c r="N40" s="250" t="str">
        <f>IF($D40&lt;&gt;"",IF(AND(U40="Yes",G40&lt;&gt;""),W40*F40,VLOOKUP($D40,'Criteria-SBP'!$B$114:$R$184,13,FALSE)*$F40),"")</f>
        <v/>
      </c>
      <c r="O40" s="250" t="str">
        <f>IF($D40&lt;&gt;"",IF(AND(U40="Yes",G40&lt;&gt;""),X40*F40,VLOOKUP($D40,'Criteria-SBP'!$B$114:$R$184,14,FALSE)*$F40),"")</f>
        <v/>
      </c>
      <c r="P40" s="178" t="str">
        <f t="shared" si="5"/>
        <v/>
      </c>
      <c r="Q40" s="170" t="str">
        <f t="shared" si="6"/>
        <v/>
      </c>
      <c r="R40" s="171" t="str">
        <f t="shared" si="7"/>
        <v/>
      </c>
      <c r="S40" s="187" t="str">
        <f t="shared" si="8"/>
        <v/>
      </c>
      <c r="T40" s="111" t="str">
        <f>IF($D40&lt;&gt;"",VLOOKUP($D40,'Criteria-SBP'!$B$114:$P$184,11,FALSE),"")</f>
        <v/>
      </c>
      <c r="U40" s="297" t="str">
        <f>IF(D40&lt;&gt;"",VLOOKUP(D40,'Criteria-SBP'!$B$114:$R$184,16,FALSE),"")</f>
        <v/>
      </c>
      <c r="V40" s="298" t="str">
        <f>IF(U40="Yes",VLOOKUP(D40,'Criteria-SBP'!$B$114:$R$184,12,FALSE) / VLOOKUP(D40,'Criteria-SBP'!$B$118:$R$184,17,FALSE) * G40,"")</f>
        <v/>
      </c>
      <c r="W40" s="298" t="str">
        <f>IF(U40="Yes",VLOOKUP(D40,'Criteria-SBP'!$B$114:$R$184,13,FALSE) / VLOOKUP(D40,'Criteria-SBP'!$B$118:$R$184,17,FALSE) * G40,"")</f>
        <v/>
      </c>
      <c r="X40" s="298" t="str">
        <f>IF(U40="Yes",VLOOKUP(D40,'Criteria-SBP'!$B$114:$R$184,14,FALSE) / VLOOKUP(D40,'Criteria-SBP'!$B$118:$R$184,17,FALSE) * G40,"")</f>
        <v/>
      </c>
      <c r="Y40" s="248"/>
    </row>
    <row r="41" spans="2:25" ht="15" customHeight="1" x14ac:dyDescent="0.2">
      <c r="B41" s="197">
        <v>21</v>
      </c>
      <c r="C41" s="239"/>
      <c r="D41" s="101"/>
      <c r="E41" s="296" t="str">
        <f>IF(D41&lt;&gt;"",VLOOKUP(D41,'Criteria-SBP'!$B$114:$R$184,9,FALSE),"")</f>
        <v/>
      </c>
      <c r="F41" s="303"/>
      <c r="G41" s="304"/>
      <c r="H41" s="253"/>
      <c r="I41" s="153" t="str">
        <f t="shared" si="0"/>
        <v/>
      </c>
      <c r="J41" s="197" t="str">
        <f>IF(D41&lt;&gt;"",VLOOKUP(D41,'Criteria-SBP'!$B$114:$P$184,15,FALSE),"")</f>
        <v/>
      </c>
      <c r="K41" s="157" t="str">
        <f>IF(D41&lt;&gt;"",VLOOKUP(D41,'Criteria-SBP'!$B$114:$P$184,8,FALSE),"")</f>
        <v/>
      </c>
      <c r="L41" s="251" t="str">
        <f>IF(D41&lt;&gt;"","/ "&amp;VLOOKUP(D41,'Criteria-SBP'!$B$114:$P$184,9,FALSE),"")</f>
        <v/>
      </c>
      <c r="M41" s="255" t="str">
        <f>IF($D41&lt;&gt;"",IF(AND(U41="Yes",G41&lt;&gt;""),V41*F41,VLOOKUP($D41,'Criteria-SBP'!$B$114:$R$184,12,FALSE)*$F41),"")</f>
        <v/>
      </c>
      <c r="N41" s="250" t="str">
        <f>IF($D41&lt;&gt;"",IF(AND(U41="Yes",G41&lt;&gt;""),W41*F41,VLOOKUP($D41,'Criteria-SBP'!$B$114:$R$184,13,FALSE)*$F41),"")</f>
        <v/>
      </c>
      <c r="O41" s="250" t="str">
        <f>IF($D41&lt;&gt;"",IF(AND(U41="Yes",G41&lt;&gt;""),X41*F41,VLOOKUP($D41,'Criteria-SBP'!$B$114:$R$184,14,FALSE)*$F41),"")</f>
        <v/>
      </c>
      <c r="P41" s="178" t="str">
        <f t="shared" si="5"/>
        <v/>
      </c>
      <c r="Q41" s="170" t="str">
        <f t="shared" si="6"/>
        <v/>
      </c>
      <c r="R41" s="171" t="str">
        <f t="shared" si="7"/>
        <v/>
      </c>
      <c r="S41" s="187" t="str">
        <f t="shared" si="8"/>
        <v/>
      </c>
      <c r="T41" s="111" t="str">
        <f>IF($D41&lt;&gt;"",VLOOKUP($D41,'Criteria-SBP'!$B$114:$P$184,11,FALSE),"")</f>
        <v/>
      </c>
      <c r="U41" s="297" t="str">
        <f>IF(D41&lt;&gt;"",VLOOKUP(D41,'Criteria-SBP'!$B$114:$R$184,16,FALSE),"")</f>
        <v/>
      </c>
      <c r="V41" s="298" t="str">
        <f>IF(U41="Yes",VLOOKUP(D41,'Criteria-SBP'!$B$114:$R$184,12,FALSE) / VLOOKUP(D41,'Criteria-SBP'!$B$118:$R$184,17,FALSE) * G41,"")</f>
        <v/>
      </c>
      <c r="W41" s="298" t="str">
        <f>IF(U41="Yes",VLOOKUP(D41,'Criteria-SBP'!$B$114:$R$184,13,FALSE) / VLOOKUP(D41,'Criteria-SBP'!$B$118:$R$184,17,FALSE) * G41,"")</f>
        <v/>
      </c>
      <c r="X41" s="298" t="str">
        <f>IF(U41="Yes",VLOOKUP(D41,'Criteria-SBP'!$B$114:$R$184,14,FALSE) / VLOOKUP(D41,'Criteria-SBP'!$B$118:$R$184,17,FALSE) * G41,"")</f>
        <v/>
      </c>
      <c r="Y41" s="248"/>
    </row>
    <row r="42" spans="2:25" ht="15" customHeight="1" x14ac:dyDescent="0.2">
      <c r="B42" s="197">
        <v>22</v>
      </c>
      <c r="C42" s="239"/>
      <c r="D42" s="101"/>
      <c r="E42" s="296" t="str">
        <f>IF(D42&lt;&gt;"",VLOOKUP(D42,'Criteria-SBP'!$B$114:$R$184,9,FALSE),"")</f>
        <v/>
      </c>
      <c r="F42" s="303"/>
      <c r="G42" s="304"/>
      <c r="H42" s="253"/>
      <c r="I42" s="153" t="str">
        <f t="shared" si="0"/>
        <v/>
      </c>
      <c r="J42" s="197" t="str">
        <f>IF(D42&lt;&gt;"",VLOOKUP(D42,'Criteria-SBP'!$B$114:$P$184,15,FALSE),"")</f>
        <v/>
      </c>
      <c r="K42" s="157" t="str">
        <f>IF(D42&lt;&gt;"",VLOOKUP(D42,'Criteria-SBP'!$B$114:$P$184,8,FALSE),"")</f>
        <v/>
      </c>
      <c r="L42" s="251" t="str">
        <f>IF(D42&lt;&gt;"","/ "&amp;VLOOKUP(D42,'Criteria-SBP'!$B$114:$P$184,9,FALSE),"")</f>
        <v/>
      </c>
      <c r="M42" s="255" t="str">
        <f>IF($D42&lt;&gt;"",IF(AND(U42="Yes",G42&lt;&gt;""),V42*F42,VLOOKUP($D42,'Criteria-SBP'!$B$114:$R$184,12,FALSE)*$F42),"")</f>
        <v/>
      </c>
      <c r="N42" s="250" t="str">
        <f>IF($D42&lt;&gt;"",IF(AND(U42="Yes",G42&lt;&gt;""),W42*F42,VLOOKUP($D42,'Criteria-SBP'!$B$114:$R$184,13,FALSE)*$F42),"")</f>
        <v/>
      </c>
      <c r="O42" s="250" t="str">
        <f>IF($D42&lt;&gt;"",IF(AND(U42="Yes",G42&lt;&gt;""),X42*F42,VLOOKUP($D42,'Criteria-SBP'!$B$114:$R$184,14,FALSE)*$F42),"")</f>
        <v/>
      </c>
      <c r="P42" s="178" t="str">
        <f t="shared" si="5"/>
        <v/>
      </c>
      <c r="Q42" s="170" t="str">
        <f t="shared" si="6"/>
        <v/>
      </c>
      <c r="R42" s="171" t="str">
        <f t="shared" si="7"/>
        <v/>
      </c>
      <c r="S42" s="187" t="str">
        <f t="shared" si="8"/>
        <v/>
      </c>
      <c r="T42" s="111" t="str">
        <f>IF($D42&lt;&gt;"",VLOOKUP($D42,'Criteria-SBP'!$B$114:$P$184,11,FALSE),"")</f>
        <v/>
      </c>
      <c r="U42" s="297" t="str">
        <f>IF(D42&lt;&gt;"",VLOOKUP(D42,'Criteria-SBP'!$B$114:$R$184,16,FALSE),"")</f>
        <v/>
      </c>
      <c r="V42" s="298" t="str">
        <f>IF(U42="Yes",VLOOKUP(D42,'Criteria-SBP'!$B$114:$R$184,12,FALSE) / VLOOKUP(D42,'Criteria-SBP'!$B$118:$R$184,17,FALSE) * G42,"")</f>
        <v/>
      </c>
      <c r="W42" s="298" t="str">
        <f>IF(U42="Yes",VLOOKUP(D42,'Criteria-SBP'!$B$114:$R$184,13,FALSE) / VLOOKUP(D42,'Criteria-SBP'!$B$118:$R$184,17,FALSE) * G42,"")</f>
        <v/>
      </c>
      <c r="X42" s="298" t="str">
        <f>IF(U42="Yes",VLOOKUP(D42,'Criteria-SBP'!$B$114:$R$184,14,FALSE) / VLOOKUP(D42,'Criteria-SBP'!$B$118:$R$184,17,FALSE) * G42,"")</f>
        <v/>
      </c>
      <c r="Y42" s="248"/>
    </row>
    <row r="43" spans="2:25" ht="15" customHeight="1" x14ac:dyDescent="0.2">
      <c r="B43" s="197">
        <v>23</v>
      </c>
      <c r="C43" s="239"/>
      <c r="D43" s="101"/>
      <c r="E43" s="296" t="str">
        <f>IF(D43&lt;&gt;"",VLOOKUP(D43,'Criteria-SBP'!$B$114:$R$184,9,FALSE),"")</f>
        <v/>
      </c>
      <c r="F43" s="303"/>
      <c r="G43" s="304"/>
      <c r="H43" s="253"/>
      <c r="I43" s="153" t="str">
        <f t="shared" si="0"/>
        <v/>
      </c>
      <c r="J43" s="197" t="str">
        <f>IF(D43&lt;&gt;"",VLOOKUP(D43,'Criteria-SBP'!$B$114:$P$184,15,FALSE),"")</f>
        <v/>
      </c>
      <c r="K43" s="157" t="str">
        <f>IF(D43&lt;&gt;"",VLOOKUP(D43,'Criteria-SBP'!$B$114:$P$184,8,FALSE),"")</f>
        <v/>
      </c>
      <c r="L43" s="251" t="str">
        <f>IF(D43&lt;&gt;"","/ "&amp;VLOOKUP(D43,'Criteria-SBP'!$B$114:$P$184,9,FALSE),"")</f>
        <v/>
      </c>
      <c r="M43" s="255" t="str">
        <f>IF($D43&lt;&gt;"",IF(AND(U43="Yes",G43&lt;&gt;""),V43*F43,VLOOKUP($D43,'Criteria-SBP'!$B$114:$R$184,12,FALSE)*$F43),"")</f>
        <v/>
      </c>
      <c r="N43" s="250" t="str">
        <f>IF($D43&lt;&gt;"",IF(AND(U43="Yes",G43&lt;&gt;""),W43*F43,VLOOKUP($D43,'Criteria-SBP'!$B$114:$R$184,13,FALSE)*$F43),"")</f>
        <v/>
      </c>
      <c r="O43" s="250" t="str">
        <f>IF($D43&lt;&gt;"",IF(AND(U43="Yes",G43&lt;&gt;""),X43*F43,VLOOKUP($D43,'Criteria-SBP'!$B$114:$R$184,14,FALSE)*$F43),"")</f>
        <v/>
      </c>
      <c r="P43" s="178" t="str">
        <f t="shared" si="5"/>
        <v/>
      </c>
      <c r="Q43" s="170" t="str">
        <f t="shared" si="6"/>
        <v/>
      </c>
      <c r="R43" s="171" t="str">
        <f t="shared" si="7"/>
        <v/>
      </c>
      <c r="S43" s="187" t="str">
        <f t="shared" si="8"/>
        <v/>
      </c>
      <c r="T43" s="111" t="str">
        <f>IF($D43&lt;&gt;"",VLOOKUP($D43,'Criteria-SBP'!$B$114:$P$184,11,FALSE),"")</f>
        <v/>
      </c>
      <c r="U43" s="297" t="str">
        <f>IF(D43&lt;&gt;"",VLOOKUP(D43,'Criteria-SBP'!$B$114:$R$184,16,FALSE),"")</f>
        <v/>
      </c>
      <c r="V43" s="298" t="str">
        <f>IF(U43="Yes",VLOOKUP(D43,'Criteria-SBP'!$B$114:$R$184,12,FALSE) / VLOOKUP(D43,'Criteria-SBP'!$B$118:$R$184,17,FALSE) * G43,"")</f>
        <v/>
      </c>
      <c r="W43" s="298" t="str">
        <f>IF(U43="Yes",VLOOKUP(D43,'Criteria-SBP'!$B$114:$R$184,13,FALSE) / VLOOKUP(D43,'Criteria-SBP'!$B$118:$R$184,17,FALSE) * G43,"")</f>
        <v/>
      </c>
      <c r="X43" s="298" t="str">
        <f>IF(U43="Yes",VLOOKUP(D43,'Criteria-SBP'!$B$114:$R$184,14,FALSE) / VLOOKUP(D43,'Criteria-SBP'!$B$118:$R$184,17,FALSE) * G43,"")</f>
        <v/>
      </c>
      <c r="Y43" s="248"/>
    </row>
    <row r="44" spans="2:25" ht="15" customHeight="1" x14ac:dyDescent="0.2">
      <c r="B44" s="197">
        <v>24</v>
      </c>
      <c r="C44" s="239"/>
      <c r="D44" s="101"/>
      <c r="E44" s="296" t="str">
        <f>IF(D44&lt;&gt;"",VLOOKUP(D44,'Criteria-SBP'!$B$114:$R$184,9,FALSE),"")</f>
        <v/>
      </c>
      <c r="F44" s="303"/>
      <c r="G44" s="304"/>
      <c r="H44" s="253"/>
      <c r="I44" s="153" t="str">
        <f t="shared" si="0"/>
        <v/>
      </c>
      <c r="J44" s="197" t="str">
        <f>IF(D44&lt;&gt;"",VLOOKUP(D44,'Criteria-SBP'!$B$114:$P$184,15,FALSE),"")</f>
        <v/>
      </c>
      <c r="K44" s="157" t="str">
        <f>IF(D44&lt;&gt;"",VLOOKUP(D44,'Criteria-SBP'!$B$114:$P$184,8,FALSE),"")</f>
        <v/>
      </c>
      <c r="L44" s="251" t="str">
        <f>IF(D44&lt;&gt;"","/ "&amp;VLOOKUP(D44,'Criteria-SBP'!$B$114:$P$184,9,FALSE),"")</f>
        <v/>
      </c>
      <c r="M44" s="255" t="str">
        <f>IF($D44&lt;&gt;"",IF(AND(U44="Yes",G44&lt;&gt;""),V44*F44,VLOOKUP($D44,'Criteria-SBP'!$B$114:$R$184,12,FALSE)*$F44),"")</f>
        <v/>
      </c>
      <c r="N44" s="250" t="str">
        <f>IF($D44&lt;&gt;"",IF(AND(U44="Yes",G44&lt;&gt;""),W44*F44,VLOOKUP($D44,'Criteria-SBP'!$B$114:$R$184,13,FALSE)*$F44),"")</f>
        <v/>
      </c>
      <c r="O44" s="250" t="str">
        <f>IF($D44&lt;&gt;"",IF(AND(U44="Yes",G44&lt;&gt;""),X44*F44,VLOOKUP($D44,'Criteria-SBP'!$B$114:$R$184,14,FALSE)*$F44),"")</f>
        <v/>
      </c>
      <c r="P44" s="178" t="str">
        <f t="shared" si="5"/>
        <v/>
      </c>
      <c r="Q44" s="170" t="str">
        <f t="shared" si="6"/>
        <v/>
      </c>
      <c r="R44" s="171" t="str">
        <f t="shared" si="7"/>
        <v/>
      </c>
      <c r="S44" s="187" t="str">
        <f t="shared" si="8"/>
        <v/>
      </c>
      <c r="T44" s="111" t="str">
        <f>IF($D44&lt;&gt;"",VLOOKUP($D44,'Criteria-SBP'!$B$114:$P$184,11,FALSE),"")</f>
        <v/>
      </c>
      <c r="U44" s="297" t="str">
        <f>IF(D44&lt;&gt;"",VLOOKUP(D44,'Criteria-SBP'!$B$114:$R$184,16,FALSE),"")</f>
        <v/>
      </c>
      <c r="V44" s="298" t="str">
        <f>IF(U44="Yes",VLOOKUP(D44,'Criteria-SBP'!$B$114:$R$184,12,FALSE) / VLOOKUP(D44,'Criteria-SBP'!$B$118:$R$184,17,FALSE) * G44,"")</f>
        <v/>
      </c>
      <c r="W44" s="298" t="str">
        <f>IF(U44="Yes",VLOOKUP(D44,'Criteria-SBP'!$B$114:$R$184,13,FALSE) / VLOOKUP(D44,'Criteria-SBP'!$B$118:$R$184,17,FALSE) * G44,"")</f>
        <v/>
      </c>
      <c r="X44" s="298" t="str">
        <f>IF(U44="Yes",VLOOKUP(D44,'Criteria-SBP'!$B$114:$R$184,14,FALSE) / VLOOKUP(D44,'Criteria-SBP'!$B$118:$R$184,17,FALSE) * G44,"")</f>
        <v/>
      </c>
      <c r="Y44" s="248"/>
    </row>
    <row r="45" spans="2:25" ht="15" customHeight="1" x14ac:dyDescent="0.2">
      <c r="B45" s="197">
        <v>25</v>
      </c>
      <c r="C45" s="239"/>
      <c r="D45" s="101"/>
      <c r="E45" s="296" t="str">
        <f>IF(D45&lt;&gt;"",VLOOKUP(D45,'Criteria-SBP'!$B$114:$R$184,9,FALSE),"")</f>
        <v/>
      </c>
      <c r="F45" s="303"/>
      <c r="G45" s="304"/>
      <c r="H45" s="253"/>
      <c r="I45" s="153" t="str">
        <f t="shared" si="0"/>
        <v/>
      </c>
      <c r="J45" s="197" t="str">
        <f>IF(D45&lt;&gt;"",VLOOKUP(D45,'Criteria-SBP'!$B$114:$P$184,15,FALSE),"")</f>
        <v/>
      </c>
      <c r="K45" s="157" t="str">
        <f>IF(D45&lt;&gt;"",VLOOKUP(D45,'Criteria-SBP'!$B$114:$P$184,8,FALSE),"")</f>
        <v/>
      </c>
      <c r="L45" s="251" t="str">
        <f>IF(D45&lt;&gt;"","/ "&amp;VLOOKUP(D45,'Criteria-SBP'!$B$114:$P$184,9,FALSE),"")</f>
        <v/>
      </c>
      <c r="M45" s="255" t="str">
        <f>IF($D45&lt;&gt;"",IF(AND(U45="Yes",G45&lt;&gt;""),V45*F45,VLOOKUP($D45,'Criteria-SBP'!$B$114:$R$184,12,FALSE)*$F45),"")</f>
        <v/>
      </c>
      <c r="N45" s="250" t="str">
        <f>IF($D45&lt;&gt;"",IF(AND(U45="Yes",G45&lt;&gt;""),W45*F45,VLOOKUP($D45,'Criteria-SBP'!$B$114:$R$184,13,FALSE)*$F45),"")</f>
        <v/>
      </c>
      <c r="O45" s="250" t="str">
        <f>IF($D45&lt;&gt;"",IF(AND(U45="Yes",G45&lt;&gt;""),X45*F45,VLOOKUP($D45,'Criteria-SBP'!$B$114:$R$184,14,FALSE)*$F45),"")</f>
        <v/>
      </c>
      <c r="P45" s="178" t="str">
        <f t="shared" si="5"/>
        <v/>
      </c>
      <c r="Q45" s="170" t="str">
        <f t="shared" si="6"/>
        <v/>
      </c>
      <c r="R45" s="171" t="str">
        <f t="shared" si="7"/>
        <v/>
      </c>
      <c r="S45" s="187" t="str">
        <f t="shared" si="8"/>
        <v/>
      </c>
      <c r="T45" s="111" t="str">
        <f>IF($D45&lt;&gt;"",VLOOKUP($D45,'Criteria-SBP'!$B$114:$P$184,11,FALSE),"")</f>
        <v/>
      </c>
      <c r="U45" s="297" t="str">
        <f>IF(D45&lt;&gt;"",VLOOKUP(D45,'Criteria-SBP'!$B$114:$R$184,16,FALSE),"")</f>
        <v/>
      </c>
      <c r="V45" s="298" t="str">
        <f>IF(U45="Yes",VLOOKUP(D45,'Criteria-SBP'!$B$114:$R$184,12,FALSE) / VLOOKUP(D45,'Criteria-SBP'!$B$118:$R$184,17,FALSE) * G45,"")</f>
        <v/>
      </c>
      <c r="W45" s="298" t="str">
        <f>IF(U45="Yes",VLOOKUP(D45,'Criteria-SBP'!$B$114:$R$184,13,FALSE) / VLOOKUP(D45,'Criteria-SBP'!$B$118:$R$184,17,FALSE) * G45,"")</f>
        <v/>
      </c>
      <c r="X45" s="298" t="str">
        <f>IF(U45="Yes",VLOOKUP(D45,'Criteria-SBP'!$B$114:$R$184,14,FALSE) / VLOOKUP(D45,'Criteria-SBP'!$B$118:$R$184,17,FALSE) * G45,"")</f>
        <v/>
      </c>
      <c r="Y45" s="248"/>
    </row>
    <row r="46" spans="2:25" ht="15" customHeight="1" x14ac:dyDescent="0.2">
      <c r="B46" s="197">
        <v>26</v>
      </c>
      <c r="C46" s="239"/>
      <c r="D46" s="101"/>
      <c r="E46" s="296" t="str">
        <f>IF(D46&lt;&gt;"",VLOOKUP(D46,'Criteria-SBP'!$B$114:$R$184,9,FALSE),"")</f>
        <v/>
      </c>
      <c r="F46" s="303"/>
      <c r="G46" s="304"/>
      <c r="H46" s="253"/>
      <c r="I46" s="153" t="str">
        <f t="shared" si="0"/>
        <v/>
      </c>
      <c r="J46" s="197" t="str">
        <f>IF(D46&lt;&gt;"",VLOOKUP(D46,'Criteria-SBP'!$B$114:$P$184,15,FALSE),"")</f>
        <v/>
      </c>
      <c r="K46" s="157" t="str">
        <f>IF(D46&lt;&gt;"",VLOOKUP(D46,'Criteria-SBP'!$B$114:$P$184,8,FALSE),"")</f>
        <v/>
      </c>
      <c r="L46" s="251" t="str">
        <f>IF(D46&lt;&gt;"","/ "&amp;VLOOKUP(D46,'Criteria-SBP'!$B$114:$P$184,9,FALSE),"")</f>
        <v/>
      </c>
      <c r="M46" s="255" t="str">
        <f>IF($D46&lt;&gt;"",IF(AND(U46="Yes",G46&lt;&gt;""),V46*F46,VLOOKUP($D46,'Criteria-SBP'!$B$114:$R$184,12,FALSE)*$F46),"")</f>
        <v/>
      </c>
      <c r="N46" s="250" t="str">
        <f>IF($D46&lt;&gt;"",IF(AND(U46="Yes",G46&lt;&gt;""),W46*F46,VLOOKUP($D46,'Criteria-SBP'!$B$114:$R$184,13,FALSE)*$F46),"")</f>
        <v/>
      </c>
      <c r="O46" s="250" t="str">
        <f>IF($D46&lt;&gt;"",IF(AND(U46="Yes",G46&lt;&gt;""),X46*F46,VLOOKUP($D46,'Criteria-SBP'!$B$114:$R$184,14,FALSE)*$F46),"")</f>
        <v/>
      </c>
      <c r="P46" s="178" t="str">
        <f t="shared" si="5"/>
        <v/>
      </c>
      <c r="Q46" s="170" t="str">
        <f t="shared" si="6"/>
        <v/>
      </c>
      <c r="R46" s="171" t="str">
        <f t="shared" si="7"/>
        <v/>
      </c>
      <c r="S46" s="187" t="str">
        <f t="shared" si="8"/>
        <v/>
      </c>
      <c r="T46" s="111" t="str">
        <f>IF($D46&lt;&gt;"",VLOOKUP($D46,'Criteria-SBP'!$B$114:$P$184,11,FALSE),"")</f>
        <v/>
      </c>
      <c r="U46" s="297" t="str">
        <f>IF(D46&lt;&gt;"",VLOOKUP(D46,'Criteria-SBP'!$B$114:$R$184,16,FALSE),"")</f>
        <v/>
      </c>
      <c r="V46" s="298" t="str">
        <f>IF(U46="Yes",VLOOKUP(D46,'Criteria-SBP'!$B$114:$R$184,12,FALSE) / VLOOKUP(D46,'Criteria-SBP'!$B$118:$R$184,17,FALSE) * G46,"")</f>
        <v/>
      </c>
      <c r="W46" s="298" t="str">
        <f>IF(U46="Yes",VLOOKUP(D46,'Criteria-SBP'!$B$114:$R$184,13,FALSE) / VLOOKUP(D46,'Criteria-SBP'!$B$118:$R$184,17,FALSE) * G46,"")</f>
        <v/>
      </c>
      <c r="X46" s="298" t="str">
        <f>IF(U46="Yes",VLOOKUP(D46,'Criteria-SBP'!$B$114:$R$184,14,FALSE) / VLOOKUP(D46,'Criteria-SBP'!$B$118:$R$184,17,FALSE) * G46,"")</f>
        <v/>
      </c>
      <c r="Y46" s="248"/>
    </row>
    <row r="47" spans="2:25" ht="15" customHeight="1" x14ac:dyDescent="0.2">
      <c r="B47" s="197">
        <v>27</v>
      </c>
      <c r="C47" s="239"/>
      <c r="D47" s="101"/>
      <c r="E47" s="296" t="str">
        <f>IF(D47&lt;&gt;"",VLOOKUP(D47,'Criteria-SBP'!$B$114:$R$184,9,FALSE),"")</f>
        <v/>
      </c>
      <c r="F47" s="303"/>
      <c r="G47" s="304"/>
      <c r="H47" s="253"/>
      <c r="I47" s="153" t="str">
        <f t="shared" si="0"/>
        <v/>
      </c>
      <c r="J47" s="197" t="str">
        <f>IF(D47&lt;&gt;"",VLOOKUP(D47,'Criteria-SBP'!$B$114:$P$184,15,FALSE),"")</f>
        <v/>
      </c>
      <c r="K47" s="157" t="str">
        <f>IF(D47&lt;&gt;"",VLOOKUP(D47,'Criteria-SBP'!$B$114:$P$184,8,FALSE),"")</f>
        <v/>
      </c>
      <c r="L47" s="251" t="str">
        <f>IF(D47&lt;&gt;"","/ "&amp;VLOOKUP(D47,'Criteria-SBP'!$B$114:$P$184,9,FALSE),"")</f>
        <v/>
      </c>
      <c r="M47" s="255" t="str">
        <f>IF($D47&lt;&gt;"",IF(AND(U47="Yes",G47&lt;&gt;""),V47*F47,VLOOKUP($D47,'Criteria-SBP'!$B$114:$R$184,12,FALSE)*$F47),"")</f>
        <v/>
      </c>
      <c r="N47" s="250" t="str">
        <f>IF($D47&lt;&gt;"",IF(AND(U47="Yes",G47&lt;&gt;""),W47*F47,VLOOKUP($D47,'Criteria-SBP'!$B$114:$R$184,13,FALSE)*$F47),"")</f>
        <v/>
      </c>
      <c r="O47" s="250" t="str">
        <f>IF($D47&lt;&gt;"",IF(AND(U47="Yes",G47&lt;&gt;""),X47*F47,VLOOKUP($D47,'Criteria-SBP'!$B$114:$R$184,14,FALSE)*$F47),"")</f>
        <v/>
      </c>
      <c r="P47" s="178" t="str">
        <f t="shared" si="5"/>
        <v/>
      </c>
      <c r="Q47" s="170" t="str">
        <f t="shared" si="6"/>
        <v/>
      </c>
      <c r="R47" s="171" t="str">
        <f t="shared" si="7"/>
        <v/>
      </c>
      <c r="S47" s="187" t="str">
        <f t="shared" si="8"/>
        <v/>
      </c>
      <c r="T47" s="111" t="str">
        <f>IF($D47&lt;&gt;"",VLOOKUP($D47,'Criteria-SBP'!$B$114:$P$184,11,FALSE),"")</f>
        <v/>
      </c>
      <c r="U47" s="297" t="str">
        <f>IF(D47&lt;&gt;"",VLOOKUP(D47,'Criteria-SBP'!$B$114:$R$184,16,FALSE),"")</f>
        <v/>
      </c>
      <c r="V47" s="298" t="str">
        <f>IF(U47="Yes",VLOOKUP(D47,'Criteria-SBP'!$B$114:$R$184,12,FALSE) / VLOOKUP(D47,'Criteria-SBP'!$B$118:$R$184,17,FALSE) * G47,"")</f>
        <v/>
      </c>
      <c r="W47" s="298" t="str">
        <f>IF(U47="Yes",VLOOKUP(D47,'Criteria-SBP'!$B$114:$R$184,13,FALSE) / VLOOKUP(D47,'Criteria-SBP'!$B$118:$R$184,17,FALSE) * G47,"")</f>
        <v/>
      </c>
      <c r="X47" s="298" t="str">
        <f>IF(U47="Yes",VLOOKUP(D47,'Criteria-SBP'!$B$114:$R$184,14,FALSE) / VLOOKUP(D47,'Criteria-SBP'!$B$118:$R$184,17,FALSE) * G47,"")</f>
        <v/>
      </c>
      <c r="Y47" s="248"/>
    </row>
    <row r="48" spans="2:25" ht="15" customHeight="1" x14ac:dyDescent="0.2">
      <c r="B48" s="197">
        <v>28</v>
      </c>
      <c r="C48" s="239"/>
      <c r="D48" s="101"/>
      <c r="E48" s="296" t="str">
        <f>IF(D48&lt;&gt;"",VLOOKUP(D48,'Criteria-SBP'!$B$114:$R$184,9,FALSE),"")</f>
        <v/>
      </c>
      <c r="F48" s="303"/>
      <c r="G48" s="304"/>
      <c r="H48" s="253"/>
      <c r="I48" s="153" t="str">
        <f t="shared" si="0"/>
        <v/>
      </c>
      <c r="J48" s="197" t="str">
        <f>IF(D48&lt;&gt;"",VLOOKUP(D48,'Criteria-SBP'!$B$114:$P$184,15,FALSE),"")</f>
        <v/>
      </c>
      <c r="K48" s="157" t="str">
        <f>IF(D48&lt;&gt;"",VLOOKUP(D48,'Criteria-SBP'!$B$114:$P$184,8,FALSE),"")</f>
        <v/>
      </c>
      <c r="L48" s="251" t="str">
        <f>IF(D48&lt;&gt;"","/ "&amp;VLOOKUP(D48,'Criteria-SBP'!$B$114:$P$184,9,FALSE),"")</f>
        <v/>
      </c>
      <c r="M48" s="255" t="str">
        <f>IF($D48&lt;&gt;"",IF(AND(U48="Yes",G48&lt;&gt;""),V48*F48,VLOOKUP($D48,'Criteria-SBP'!$B$114:$R$184,12,FALSE)*$F48),"")</f>
        <v/>
      </c>
      <c r="N48" s="250" t="str">
        <f>IF($D48&lt;&gt;"",IF(AND(U48="Yes",G48&lt;&gt;""),W48*F48,VLOOKUP($D48,'Criteria-SBP'!$B$114:$R$184,13,FALSE)*$F48),"")</f>
        <v/>
      </c>
      <c r="O48" s="250" t="str">
        <f>IF($D48&lt;&gt;"",IF(AND(U48="Yes",G48&lt;&gt;""),X48*F48,VLOOKUP($D48,'Criteria-SBP'!$B$114:$R$184,14,FALSE)*$F48),"")</f>
        <v/>
      </c>
      <c r="P48" s="178" t="str">
        <f t="shared" si="5"/>
        <v/>
      </c>
      <c r="Q48" s="170" t="str">
        <f t="shared" si="6"/>
        <v/>
      </c>
      <c r="R48" s="171" t="str">
        <f t="shared" si="7"/>
        <v/>
      </c>
      <c r="S48" s="187" t="str">
        <f t="shared" si="8"/>
        <v/>
      </c>
      <c r="T48" s="111" t="str">
        <f>IF($D48&lt;&gt;"",VLOOKUP($D48,'Criteria-SBP'!$B$114:$P$184,11,FALSE),"")</f>
        <v/>
      </c>
      <c r="U48" s="297" t="str">
        <f>IF(D48&lt;&gt;"",VLOOKUP(D48,'Criteria-SBP'!$B$114:$R$184,16,FALSE),"")</f>
        <v/>
      </c>
      <c r="V48" s="298" t="str">
        <f>IF(U48="Yes",VLOOKUP(D48,'Criteria-SBP'!$B$114:$R$184,12,FALSE) / VLOOKUP(D48,'Criteria-SBP'!$B$118:$R$184,17,FALSE) * G48,"")</f>
        <v/>
      </c>
      <c r="W48" s="298" t="str">
        <f>IF(U48="Yes",VLOOKUP(D48,'Criteria-SBP'!$B$114:$R$184,13,FALSE) / VLOOKUP(D48,'Criteria-SBP'!$B$118:$R$184,17,FALSE) * G48,"")</f>
        <v/>
      </c>
      <c r="X48" s="298" t="str">
        <f>IF(U48="Yes",VLOOKUP(D48,'Criteria-SBP'!$B$114:$R$184,14,FALSE) / VLOOKUP(D48,'Criteria-SBP'!$B$118:$R$184,17,FALSE) * G48,"")</f>
        <v/>
      </c>
      <c r="Y48" s="248"/>
    </row>
    <row r="49" spans="2:25" ht="15" customHeight="1" x14ac:dyDescent="0.2">
      <c r="B49" s="197">
        <v>29</v>
      </c>
      <c r="C49" s="239"/>
      <c r="D49" s="101"/>
      <c r="E49" s="296" t="str">
        <f>IF(D49&lt;&gt;"",VLOOKUP(D49,'Criteria-SBP'!$B$114:$R$184,9,FALSE),"")</f>
        <v/>
      </c>
      <c r="F49" s="303"/>
      <c r="G49" s="304"/>
      <c r="H49" s="253"/>
      <c r="I49" s="153" t="str">
        <f t="shared" si="0"/>
        <v/>
      </c>
      <c r="J49" s="197" t="str">
        <f>IF(D49&lt;&gt;"",VLOOKUP(D49,'Criteria-SBP'!$B$114:$P$184,15,FALSE),"")</f>
        <v/>
      </c>
      <c r="K49" s="157" t="str">
        <f>IF(D49&lt;&gt;"",VLOOKUP(D49,'Criteria-SBP'!$B$114:$P$184,8,FALSE),"")</f>
        <v/>
      </c>
      <c r="L49" s="251" t="str">
        <f>IF(D49&lt;&gt;"","/ "&amp;VLOOKUP(D49,'Criteria-SBP'!$B$114:$P$184,9,FALSE),"")</f>
        <v/>
      </c>
      <c r="M49" s="255" t="str">
        <f>IF($D49&lt;&gt;"",IF(AND(U49="Yes",G49&lt;&gt;""),V49*F49,VLOOKUP($D49,'Criteria-SBP'!$B$114:$R$184,12,FALSE)*$F49),"")</f>
        <v/>
      </c>
      <c r="N49" s="250" t="str">
        <f>IF($D49&lt;&gt;"",IF(AND(U49="Yes",G49&lt;&gt;""),W49*F49,VLOOKUP($D49,'Criteria-SBP'!$B$114:$R$184,13,FALSE)*$F49),"")</f>
        <v/>
      </c>
      <c r="O49" s="250" t="str">
        <f>IF($D49&lt;&gt;"",IF(AND(U49="Yes",G49&lt;&gt;""),X49*F49,VLOOKUP($D49,'Criteria-SBP'!$B$114:$R$184,14,FALSE)*$F49),"")</f>
        <v/>
      </c>
      <c r="P49" s="178" t="str">
        <f t="shared" si="5"/>
        <v/>
      </c>
      <c r="Q49" s="170" t="str">
        <f t="shared" si="6"/>
        <v/>
      </c>
      <c r="R49" s="171" t="str">
        <f t="shared" si="7"/>
        <v/>
      </c>
      <c r="S49" s="187" t="str">
        <f t="shared" si="8"/>
        <v/>
      </c>
      <c r="T49" s="111" t="str">
        <f>IF($D49&lt;&gt;"",VLOOKUP($D49,'Criteria-SBP'!$B$114:$P$184,11,FALSE),"")</f>
        <v/>
      </c>
      <c r="U49" s="297" t="str">
        <f>IF(D49&lt;&gt;"",VLOOKUP(D49,'Criteria-SBP'!$B$114:$R$184,16,FALSE),"")</f>
        <v/>
      </c>
      <c r="V49" s="298" t="str">
        <f>IF(U49="Yes",VLOOKUP(D49,'Criteria-SBP'!$B$114:$R$184,12,FALSE) / VLOOKUP(D49,'Criteria-SBP'!$B$118:$R$184,17,FALSE) * G49,"")</f>
        <v/>
      </c>
      <c r="W49" s="298" t="str">
        <f>IF(U49="Yes",VLOOKUP(D49,'Criteria-SBP'!$B$114:$R$184,13,FALSE) / VLOOKUP(D49,'Criteria-SBP'!$B$118:$R$184,17,FALSE) * G49,"")</f>
        <v/>
      </c>
      <c r="X49" s="298" t="str">
        <f>IF(U49="Yes",VLOOKUP(D49,'Criteria-SBP'!$B$114:$R$184,14,FALSE) / VLOOKUP(D49,'Criteria-SBP'!$B$118:$R$184,17,FALSE) * G49,"")</f>
        <v/>
      </c>
      <c r="Y49" s="248"/>
    </row>
    <row r="50" spans="2:25" ht="15" customHeight="1" x14ac:dyDescent="0.2">
      <c r="B50" s="197">
        <v>30</v>
      </c>
      <c r="C50" s="239"/>
      <c r="D50" s="101"/>
      <c r="E50" s="296" t="str">
        <f>IF(D50&lt;&gt;"",VLOOKUP(D50,'Criteria-SBP'!$B$114:$R$184,9,FALSE),"")</f>
        <v/>
      </c>
      <c r="F50" s="303"/>
      <c r="G50" s="304"/>
      <c r="H50" s="253"/>
      <c r="I50" s="153" t="str">
        <f t="shared" si="0"/>
        <v/>
      </c>
      <c r="J50" s="197" t="str">
        <f>IF(D50&lt;&gt;"",VLOOKUP(D50,'Criteria-SBP'!$B$114:$P$184,15,FALSE),"")</f>
        <v/>
      </c>
      <c r="K50" s="157" t="str">
        <f>IF(D50&lt;&gt;"",VLOOKUP(D50,'Criteria-SBP'!$B$114:$P$184,8,FALSE),"")</f>
        <v/>
      </c>
      <c r="L50" s="251" t="str">
        <f>IF(D50&lt;&gt;"","/ "&amp;VLOOKUP(D50,'Criteria-SBP'!$B$114:$P$184,9,FALSE),"")</f>
        <v/>
      </c>
      <c r="M50" s="255" t="str">
        <f>IF($D50&lt;&gt;"",IF(AND(U50="Yes",G50&lt;&gt;""),V50*F50,VLOOKUP($D50,'Criteria-SBP'!$B$114:$R$184,12,FALSE)*$F50),"")</f>
        <v/>
      </c>
      <c r="N50" s="250" t="str">
        <f>IF($D50&lt;&gt;"",IF(AND(U50="Yes",G50&lt;&gt;""),W50*F50,VLOOKUP($D50,'Criteria-SBP'!$B$114:$R$184,13,FALSE)*$F50),"")</f>
        <v/>
      </c>
      <c r="O50" s="250" t="str">
        <f>IF($D50&lt;&gt;"",IF(AND(U50="Yes",G50&lt;&gt;""),X50*F50,VLOOKUP($D50,'Criteria-SBP'!$B$114:$R$184,14,FALSE)*$F50),"")</f>
        <v/>
      </c>
      <c r="P50" s="178" t="str">
        <f t="shared" si="5"/>
        <v/>
      </c>
      <c r="Q50" s="170" t="str">
        <f t="shared" si="6"/>
        <v/>
      </c>
      <c r="R50" s="171" t="str">
        <f t="shared" si="7"/>
        <v/>
      </c>
      <c r="S50" s="187" t="str">
        <f t="shared" si="8"/>
        <v/>
      </c>
      <c r="T50" s="111" t="str">
        <f>IF($D50&lt;&gt;"",VLOOKUP($D50,'Criteria-SBP'!$B$114:$P$184,11,FALSE),"")</f>
        <v/>
      </c>
      <c r="U50" s="297" t="str">
        <f>IF(D50&lt;&gt;"",VLOOKUP(D50,'Criteria-SBP'!$B$114:$R$184,16,FALSE),"")</f>
        <v/>
      </c>
      <c r="V50" s="298" t="str">
        <f>IF(U50="Yes",VLOOKUP(D50,'Criteria-SBP'!$B$114:$R$184,12,FALSE) / VLOOKUP(D50,'Criteria-SBP'!$B$118:$R$184,17,FALSE) * G50,"")</f>
        <v/>
      </c>
      <c r="W50" s="298" t="str">
        <f>IF(U50="Yes",VLOOKUP(D50,'Criteria-SBP'!$B$114:$R$184,13,FALSE) / VLOOKUP(D50,'Criteria-SBP'!$B$118:$R$184,17,FALSE) * G50,"")</f>
        <v/>
      </c>
      <c r="X50" s="298" t="str">
        <f>IF(U50="Yes",VLOOKUP(D50,'Criteria-SBP'!$B$114:$R$184,14,FALSE) / VLOOKUP(D50,'Criteria-SBP'!$B$118:$R$184,17,FALSE) * G50,"")</f>
        <v/>
      </c>
      <c r="Y50" s="248"/>
    </row>
    <row r="51" spans="2:25" ht="15" customHeight="1" x14ac:dyDescent="0.2">
      <c r="B51" s="197">
        <v>31</v>
      </c>
      <c r="C51" s="239"/>
      <c r="D51" s="101"/>
      <c r="E51" s="296" t="str">
        <f>IF(D51&lt;&gt;"",VLOOKUP(D51,'Criteria-SBP'!$B$114:$R$184,9,FALSE),"")</f>
        <v/>
      </c>
      <c r="F51" s="303"/>
      <c r="G51" s="304"/>
      <c r="H51" s="253"/>
      <c r="I51" s="153" t="str">
        <f t="shared" si="0"/>
        <v/>
      </c>
      <c r="J51" s="197" t="str">
        <f>IF(D51&lt;&gt;"",VLOOKUP(D51,'Criteria-SBP'!$B$114:$P$184,15,FALSE),"")</f>
        <v/>
      </c>
      <c r="K51" s="157" t="str">
        <f>IF(D51&lt;&gt;"",VLOOKUP(D51,'Criteria-SBP'!$B$114:$P$184,8,FALSE),"")</f>
        <v/>
      </c>
      <c r="L51" s="251" t="str">
        <f>IF(D51&lt;&gt;"","/ "&amp;VLOOKUP(D51,'Criteria-SBP'!$B$114:$P$184,9,FALSE),"")</f>
        <v/>
      </c>
      <c r="M51" s="255" t="str">
        <f>IF($D51&lt;&gt;"",IF(AND(U51="Yes",G51&lt;&gt;""),V51*F51,VLOOKUP($D51,'Criteria-SBP'!$B$114:$R$184,12,FALSE)*$F51),"")</f>
        <v/>
      </c>
      <c r="N51" s="250" t="str">
        <f>IF($D51&lt;&gt;"",IF(AND(U51="Yes",G51&lt;&gt;""),W51*F51,VLOOKUP($D51,'Criteria-SBP'!$B$114:$R$184,13,FALSE)*$F51),"")</f>
        <v/>
      </c>
      <c r="O51" s="250" t="str">
        <f>IF($D51&lt;&gt;"",IF(AND(U51="Yes",G51&lt;&gt;""),X51*F51,VLOOKUP($D51,'Criteria-SBP'!$B$114:$R$184,14,FALSE)*$F51),"")</f>
        <v/>
      </c>
      <c r="P51" s="178" t="str">
        <f t="shared" si="5"/>
        <v/>
      </c>
      <c r="Q51" s="170" t="str">
        <f t="shared" si="6"/>
        <v/>
      </c>
      <c r="R51" s="171" t="str">
        <f t="shared" si="7"/>
        <v/>
      </c>
      <c r="S51" s="187" t="str">
        <f t="shared" si="8"/>
        <v/>
      </c>
      <c r="T51" s="111" t="str">
        <f>IF($D51&lt;&gt;"",VLOOKUP($D51,'Criteria-SBP'!$B$114:$P$184,11,FALSE),"")</f>
        <v/>
      </c>
      <c r="U51" s="297" t="str">
        <f>IF(D51&lt;&gt;"",VLOOKUP(D51,'Criteria-SBP'!$B$114:$R$184,16,FALSE),"")</f>
        <v/>
      </c>
      <c r="V51" s="298" t="str">
        <f>IF(U51="Yes",VLOOKUP(D51,'Criteria-SBP'!$B$114:$R$184,12,FALSE) / VLOOKUP(D51,'Criteria-SBP'!$B$118:$R$184,17,FALSE) * G51,"")</f>
        <v/>
      </c>
      <c r="W51" s="298" t="str">
        <f>IF(U51="Yes",VLOOKUP(D51,'Criteria-SBP'!$B$114:$R$184,13,FALSE) / VLOOKUP(D51,'Criteria-SBP'!$B$118:$R$184,17,FALSE) * G51,"")</f>
        <v/>
      </c>
      <c r="X51" s="298" t="str">
        <f>IF(U51="Yes",VLOOKUP(D51,'Criteria-SBP'!$B$114:$R$184,14,FALSE) / VLOOKUP(D51,'Criteria-SBP'!$B$118:$R$184,17,FALSE) * G51,"")</f>
        <v/>
      </c>
      <c r="Y51" s="248"/>
    </row>
    <row r="52" spans="2:25" ht="15" customHeight="1" x14ac:dyDescent="0.2">
      <c r="B52" s="197">
        <v>32</v>
      </c>
      <c r="C52" s="239"/>
      <c r="D52" s="101"/>
      <c r="E52" s="296" t="str">
        <f>IF(D52&lt;&gt;"",VLOOKUP(D52,'Criteria-SBP'!$B$114:$R$184,9,FALSE),"")</f>
        <v/>
      </c>
      <c r="F52" s="303"/>
      <c r="G52" s="304"/>
      <c r="H52" s="253"/>
      <c r="I52" s="153" t="str">
        <f t="shared" si="0"/>
        <v/>
      </c>
      <c r="J52" s="197" t="str">
        <f>IF(D52&lt;&gt;"",VLOOKUP(D52,'Criteria-SBP'!$B$114:$P$184,15,FALSE),"")</f>
        <v/>
      </c>
      <c r="K52" s="157" t="str">
        <f>IF(D52&lt;&gt;"",VLOOKUP(D52,'Criteria-SBP'!$B$114:$P$184,8,FALSE),"")</f>
        <v/>
      </c>
      <c r="L52" s="251" t="str">
        <f>IF(D52&lt;&gt;"","/ "&amp;VLOOKUP(D52,'Criteria-SBP'!$B$114:$P$184,9,FALSE),"")</f>
        <v/>
      </c>
      <c r="M52" s="255" t="str">
        <f>IF($D52&lt;&gt;"",IF(AND(U52="Yes",G52&lt;&gt;""),V52*F52,VLOOKUP($D52,'Criteria-SBP'!$B$114:$R$184,12,FALSE)*$F52),"")</f>
        <v/>
      </c>
      <c r="N52" s="250" t="str">
        <f>IF($D52&lt;&gt;"",IF(AND(U52="Yes",G52&lt;&gt;""),W52*F52,VLOOKUP($D52,'Criteria-SBP'!$B$114:$R$184,13,FALSE)*$F52),"")</f>
        <v/>
      </c>
      <c r="O52" s="250" t="str">
        <f>IF($D52&lt;&gt;"",IF(AND(U52="Yes",G52&lt;&gt;""),X52*F52,VLOOKUP($D52,'Criteria-SBP'!$B$114:$R$184,14,FALSE)*$F52),"")</f>
        <v/>
      </c>
      <c r="P52" s="178" t="str">
        <f t="shared" si="5"/>
        <v/>
      </c>
      <c r="Q52" s="170" t="str">
        <f t="shared" si="6"/>
        <v/>
      </c>
      <c r="R52" s="171" t="str">
        <f t="shared" si="7"/>
        <v/>
      </c>
      <c r="S52" s="187" t="str">
        <f t="shared" si="8"/>
        <v/>
      </c>
      <c r="T52" s="111" t="str">
        <f>IF($D52&lt;&gt;"",VLOOKUP($D52,'Criteria-SBP'!$B$114:$P$184,11,FALSE),"")</f>
        <v/>
      </c>
      <c r="U52" s="297" t="str">
        <f>IF(D52&lt;&gt;"",VLOOKUP(D52,'Criteria-SBP'!$B$114:$R$184,16,FALSE),"")</f>
        <v/>
      </c>
      <c r="V52" s="298" t="str">
        <f>IF(U52="Yes",VLOOKUP(D52,'Criteria-SBP'!$B$114:$R$184,12,FALSE) / VLOOKUP(D52,'Criteria-SBP'!$B$118:$R$184,17,FALSE) * G52,"")</f>
        <v/>
      </c>
      <c r="W52" s="298" t="str">
        <f>IF(U52="Yes",VLOOKUP(D52,'Criteria-SBP'!$B$114:$R$184,13,FALSE) / VLOOKUP(D52,'Criteria-SBP'!$B$118:$R$184,17,FALSE) * G52,"")</f>
        <v/>
      </c>
      <c r="X52" s="298" t="str">
        <f>IF(U52="Yes",VLOOKUP(D52,'Criteria-SBP'!$B$114:$R$184,14,FALSE) / VLOOKUP(D52,'Criteria-SBP'!$B$118:$R$184,17,FALSE) * G52,"")</f>
        <v/>
      </c>
      <c r="Y52" s="248"/>
    </row>
    <row r="53" spans="2:25" ht="15" customHeight="1" x14ac:dyDescent="0.2">
      <c r="B53" s="197">
        <v>33</v>
      </c>
      <c r="C53" s="239"/>
      <c r="D53" s="101"/>
      <c r="E53" s="296" t="str">
        <f>IF(D53&lt;&gt;"",VLOOKUP(D53,'Criteria-SBP'!$B$114:$R$184,9,FALSE),"")</f>
        <v/>
      </c>
      <c r="F53" s="303"/>
      <c r="G53" s="304"/>
      <c r="H53" s="253"/>
      <c r="I53" s="153" t="str">
        <f t="shared" ref="I53:I70" si="9">IF(AND(F53&gt;0,H53&gt;0),F53*H53,IF(OR(F53&lt;&gt;"",H53&lt;&gt;""),F53*H53,""))</f>
        <v/>
      </c>
      <c r="J53" s="197" t="str">
        <f>IF(D53&lt;&gt;"",VLOOKUP(D53,'Criteria-SBP'!$B$114:$P$184,15,FALSE),"")</f>
        <v/>
      </c>
      <c r="K53" s="157" t="str">
        <f>IF(D53&lt;&gt;"",VLOOKUP(D53,'Criteria-SBP'!$B$114:$P$184,8,FALSE),"")</f>
        <v/>
      </c>
      <c r="L53" s="251" t="str">
        <f>IF(D53&lt;&gt;"","/ "&amp;VLOOKUP(D53,'Criteria-SBP'!$B$114:$P$184,9,FALSE),"")</f>
        <v/>
      </c>
      <c r="M53" s="255" t="str">
        <f>IF($D53&lt;&gt;"",IF(AND(U53="Yes",G53&lt;&gt;""),V53*F53,VLOOKUP($D53,'Criteria-SBP'!$B$114:$R$184,12,FALSE)*$F53),"")</f>
        <v/>
      </c>
      <c r="N53" s="250" t="str">
        <f>IF($D53&lt;&gt;"",IF(AND(U53="Yes",G53&lt;&gt;""),W53*F53,VLOOKUP($D53,'Criteria-SBP'!$B$114:$R$184,13,FALSE)*$F53),"")</f>
        <v/>
      </c>
      <c r="O53" s="250" t="str">
        <f>IF($D53&lt;&gt;"",IF(AND(U53="Yes",G53&lt;&gt;""),X53*F53,VLOOKUP($D53,'Criteria-SBP'!$B$114:$R$184,14,FALSE)*$F53),"")</f>
        <v/>
      </c>
      <c r="P53" s="178" t="str">
        <f t="shared" si="5"/>
        <v/>
      </c>
      <c r="Q53" s="170" t="str">
        <f t="shared" si="6"/>
        <v/>
      </c>
      <c r="R53" s="171" t="str">
        <f t="shared" si="7"/>
        <v/>
      </c>
      <c r="S53" s="187" t="str">
        <f t="shared" si="8"/>
        <v/>
      </c>
      <c r="T53" s="111" t="str">
        <f>IF($D53&lt;&gt;"",VLOOKUP($D53,'Criteria-SBP'!$B$114:$P$184,11,FALSE),"")</f>
        <v/>
      </c>
      <c r="U53" s="297" t="str">
        <f>IF(D53&lt;&gt;"",VLOOKUP(D53,'Criteria-SBP'!$B$114:$R$184,16,FALSE),"")</f>
        <v/>
      </c>
      <c r="V53" s="298" t="str">
        <f>IF(U53="Yes",VLOOKUP(D53,'Criteria-SBP'!$B$114:$R$184,12,FALSE) / VLOOKUP(D53,'Criteria-SBP'!$B$118:$R$184,17,FALSE) * G53,"")</f>
        <v/>
      </c>
      <c r="W53" s="298" t="str">
        <f>IF(U53="Yes",VLOOKUP(D53,'Criteria-SBP'!$B$114:$R$184,13,FALSE) / VLOOKUP(D53,'Criteria-SBP'!$B$118:$R$184,17,FALSE) * G53,"")</f>
        <v/>
      </c>
      <c r="X53" s="298" t="str">
        <f>IF(U53="Yes",VLOOKUP(D53,'Criteria-SBP'!$B$114:$R$184,14,FALSE) / VLOOKUP(D53,'Criteria-SBP'!$B$118:$R$184,17,FALSE) * G53,"")</f>
        <v/>
      </c>
      <c r="Y53" s="248"/>
    </row>
    <row r="54" spans="2:25" ht="15" customHeight="1" x14ac:dyDescent="0.2">
      <c r="B54" s="197">
        <v>34</v>
      </c>
      <c r="C54" s="239"/>
      <c r="D54" s="101"/>
      <c r="E54" s="296" t="str">
        <f>IF(D54&lt;&gt;"",VLOOKUP(D54,'Criteria-SBP'!$B$114:$R$184,9,FALSE),"")</f>
        <v/>
      </c>
      <c r="F54" s="303"/>
      <c r="G54" s="304"/>
      <c r="H54" s="253"/>
      <c r="I54" s="153" t="str">
        <f t="shared" si="9"/>
        <v/>
      </c>
      <c r="J54" s="197" t="str">
        <f>IF(D54&lt;&gt;"",VLOOKUP(D54,'Criteria-SBP'!$B$114:$P$184,15,FALSE),"")</f>
        <v/>
      </c>
      <c r="K54" s="157" t="str">
        <f>IF(D54&lt;&gt;"",VLOOKUP(D54,'Criteria-SBP'!$B$114:$P$184,8,FALSE),"")</f>
        <v/>
      </c>
      <c r="L54" s="251" t="str">
        <f>IF(D54&lt;&gt;"","/ "&amp;VLOOKUP(D54,'Criteria-SBP'!$B$114:$P$184,9,FALSE),"")</f>
        <v/>
      </c>
      <c r="M54" s="255" t="str">
        <f>IF($D54&lt;&gt;"",IF(AND(U54="Yes",G54&lt;&gt;""),V54*F54,VLOOKUP($D54,'Criteria-SBP'!$B$114:$R$184,12,FALSE)*$F54),"")</f>
        <v/>
      </c>
      <c r="N54" s="250" t="str">
        <f>IF($D54&lt;&gt;"",IF(AND(U54="Yes",G54&lt;&gt;""),W54*F54,VLOOKUP($D54,'Criteria-SBP'!$B$114:$R$184,13,FALSE)*$F54),"")</f>
        <v/>
      </c>
      <c r="O54" s="250" t="str">
        <f>IF($D54&lt;&gt;"",IF(AND(U54="Yes",G54&lt;&gt;""),X54*F54,VLOOKUP($D54,'Criteria-SBP'!$B$114:$R$184,14,FALSE)*$F54),"")</f>
        <v/>
      </c>
      <c r="P54" s="178" t="str">
        <f t="shared" si="5"/>
        <v/>
      </c>
      <c r="Q54" s="170" t="str">
        <f t="shared" si="6"/>
        <v/>
      </c>
      <c r="R54" s="171" t="str">
        <f t="shared" si="7"/>
        <v/>
      </c>
      <c r="S54" s="187" t="str">
        <f t="shared" si="8"/>
        <v/>
      </c>
      <c r="T54" s="111" t="str">
        <f>IF($D54&lt;&gt;"",VLOOKUP($D54,'Criteria-SBP'!$B$114:$P$184,11,FALSE),"")</f>
        <v/>
      </c>
      <c r="U54" s="297" t="str">
        <f>IF(D54&lt;&gt;"",VLOOKUP(D54,'Criteria-SBP'!$B$114:$R$184,16,FALSE),"")</f>
        <v/>
      </c>
      <c r="V54" s="298" t="str">
        <f>IF(U54="Yes",VLOOKUP(D54,'Criteria-SBP'!$B$114:$R$184,12,FALSE) / VLOOKUP(D54,'Criteria-SBP'!$B$118:$R$184,17,FALSE) * G54,"")</f>
        <v/>
      </c>
      <c r="W54" s="298" t="str">
        <f>IF(U54="Yes",VLOOKUP(D54,'Criteria-SBP'!$B$114:$R$184,13,FALSE) / VLOOKUP(D54,'Criteria-SBP'!$B$118:$R$184,17,FALSE) * G54,"")</f>
        <v/>
      </c>
      <c r="X54" s="298" t="str">
        <f>IF(U54="Yes",VLOOKUP(D54,'Criteria-SBP'!$B$114:$R$184,14,FALSE) / VLOOKUP(D54,'Criteria-SBP'!$B$118:$R$184,17,FALSE) * G54,"")</f>
        <v/>
      </c>
      <c r="Y54" s="248"/>
    </row>
    <row r="55" spans="2:25" ht="15" customHeight="1" x14ac:dyDescent="0.2">
      <c r="B55" s="197">
        <v>35</v>
      </c>
      <c r="C55" s="239"/>
      <c r="D55" s="101"/>
      <c r="E55" s="296" t="str">
        <f>IF(D55&lt;&gt;"",VLOOKUP(D55,'Criteria-SBP'!$B$114:$R$184,9,FALSE),"")</f>
        <v/>
      </c>
      <c r="F55" s="303"/>
      <c r="G55" s="304"/>
      <c r="H55" s="253"/>
      <c r="I55" s="153" t="str">
        <f t="shared" si="9"/>
        <v/>
      </c>
      <c r="J55" s="197" t="str">
        <f>IF(D55&lt;&gt;"",VLOOKUP(D55,'Criteria-SBP'!$B$114:$P$184,15,FALSE),"")</f>
        <v/>
      </c>
      <c r="K55" s="157" t="str">
        <f>IF(D55&lt;&gt;"",VLOOKUP(D55,'Criteria-SBP'!$B$114:$P$184,8,FALSE),"")</f>
        <v/>
      </c>
      <c r="L55" s="251" t="str">
        <f>IF(D55&lt;&gt;"","/ "&amp;VLOOKUP(D55,'Criteria-SBP'!$B$114:$P$184,9,FALSE),"")</f>
        <v/>
      </c>
      <c r="M55" s="255" t="str">
        <f>IF($D55&lt;&gt;"",IF(AND(U55="Yes",G55&lt;&gt;""),V55*F55,VLOOKUP($D55,'Criteria-SBP'!$B$114:$R$184,12,FALSE)*$F55),"")</f>
        <v/>
      </c>
      <c r="N55" s="250" t="str">
        <f>IF($D55&lt;&gt;"",IF(AND(U55="Yes",G55&lt;&gt;""),W55*F55,VLOOKUP($D55,'Criteria-SBP'!$B$114:$R$184,13,FALSE)*$F55),"")</f>
        <v/>
      </c>
      <c r="O55" s="250" t="str">
        <f>IF($D55&lt;&gt;"",IF(AND(U55="Yes",G55&lt;&gt;""),X55*F55,VLOOKUP($D55,'Criteria-SBP'!$B$114:$R$184,14,FALSE)*$F55),"")</f>
        <v/>
      </c>
      <c r="P55" s="178" t="str">
        <f t="shared" si="5"/>
        <v/>
      </c>
      <c r="Q55" s="170" t="str">
        <f t="shared" si="6"/>
        <v/>
      </c>
      <c r="R55" s="171" t="str">
        <f t="shared" si="7"/>
        <v/>
      </c>
      <c r="S55" s="187" t="str">
        <f t="shared" si="8"/>
        <v/>
      </c>
      <c r="T55" s="111" t="str">
        <f>IF($D55&lt;&gt;"",VLOOKUP($D55,'Criteria-SBP'!$B$114:$P$184,11,FALSE),"")</f>
        <v/>
      </c>
      <c r="U55" s="297" t="str">
        <f>IF(D55&lt;&gt;"",VLOOKUP(D55,'Criteria-SBP'!$B$114:$R$184,16,FALSE),"")</f>
        <v/>
      </c>
      <c r="V55" s="298" t="str">
        <f>IF(U55="Yes",VLOOKUP(D55,'Criteria-SBP'!$B$114:$R$184,12,FALSE) / VLOOKUP(D55,'Criteria-SBP'!$B$118:$R$184,17,FALSE) * G55,"")</f>
        <v/>
      </c>
      <c r="W55" s="298" t="str">
        <f>IF(U55="Yes",VLOOKUP(D55,'Criteria-SBP'!$B$114:$R$184,13,FALSE) / VLOOKUP(D55,'Criteria-SBP'!$B$118:$R$184,17,FALSE) * G55,"")</f>
        <v/>
      </c>
      <c r="X55" s="298" t="str">
        <f>IF(U55="Yes",VLOOKUP(D55,'Criteria-SBP'!$B$114:$R$184,14,FALSE) / VLOOKUP(D55,'Criteria-SBP'!$B$118:$R$184,17,FALSE) * G55,"")</f>
        <v/>
      </c>
      <c r="Y55" s="248"/>
    </row>
    <row r="56" spans="2:25" ht="15" customHeight="1" x14ac:dyDescent="0.2">
      <c r="B56" s="197">
        <v>36</v>
      </c>
      <c r="C56" s="239"/>
      <c r="D56" s="101"/>
      <c r="E56" s="296" t="str">
        <f>IF(D56&lt;&gt;"",VLOOKUP(D56,'Criteria-SBP'!$B$114:$R$184,9,FALSE),"")</f>
        <v/>
      </c>
      <c r="F56" s="303"/>
      <c r="G56" s="304"/>
      <c r="H56" s="253"/>
      <c r="I56" s="153" t="str">
        <f t="shared" si="9"/>
        <v/>
      </c>
      <c r="J56" s="197" t="str">
        <f>IF(D56&lt;&gt;"",VLOOKUP(D56,'Criteria-SBP'!$B$114:$P$184,15,FALSE),"")</f>
        <v/>
      </c>
      <c r="K56" s="157" t="str">
        <f>IF(D56&lt;&gt;"",VLOOKUP(D56,'Criteria-SBP'!$B$114:$P$184,8,FALSE),"")</f>
        <v/>
      </c>
      <c r="L56" s="251" t="str">
        <f>IF(D56&lt;&gt;"","/ "&amp;VLOOKUP(D56,'Criteria-SBP'!$B$114:$P$184,9,FALSE),"")</f>
        <v/>
      </c>
      <c r="M56" s="255" t="str">
        <f>IF($D56&lt;&gt;"",IF(AND(U56="Yes",G56&lt;&gt;""),V56*F56,VLOOKUP($D56,'Criteria-SBP'!$B$114:$R$184,12,FALSE)*$F56),"")</f>
        <v/>
      </c>
      <c r="N56" s="250" t="str">
        <f>IF($D56&lt;&gt;"",IF(AND(U56="Yes",G56&lt;&gt;""),W56*F56,VLOOKUP($D56,'Criteria-SBP'!$B$114:$R$184,13,FALSE)*$F56),"")</f>
        <v/>
      </c>
      <c r="O56" s="250" t="str">
        <f>IF($D56&lt;&gt;"",IF(AND(U56="Yes",G56&lt;&gt;""),X56*F56,VLOOKUP($D56,'Criteria-SBP'!$B$114:$R$184,14,FALSE)*$F56),"")</f>
        <v/>
      </c>
      <c r="P56" s="178" t="str">
        <f t="shared" si="5"/>
        <v/>
      </c>
      <c r="Q56" s="170" t="str">
        <f t="shared" si="6"/>
        <v/>
      </c>
      <c r="R56" s="171" t="str">
        <f t="shared" si="7"/>
        <v/>
      </c>
      <c r="S56" s="187" t="str">
        <f t="shared" si="8"/>
        <v/>
      </c>
      <c r="T56" s="111" t="str">
        <f>IF($D56&lt;&gt;"",VLOOKUP($D56,'Criteria-SBP'!$B$114:$P$184,11,FALSE),"")</f>
        <v/>
      </c>
      <c r="U56" s="297" t="str">
        <f>IF(D56&lt;&gt;"",VLOOKUP(D56,'Criteria-SBP'!$B$114:$R$184,16,FALSE),"")</f>
        <v/>
      </c>
      <c r="V56" s="298" t="str">
        <f>IF(U56="Yes",VLOOKUP(D56,'Criteria-SBP'!$B$114:$R$184,12,FALSE) / VLOOKUP(D56,'Criteria-SBP'!$B$118:$R$184,17,FALSE) * G56,"")</f>
        <v/>
      </c>
      <c r="W56" s="298" t="str">
        <f>IF(U56="Yes",VLOOKUP(D56,'Criteria-SBP'!$B$114:$R$184,13,FALSE) / VLOOKUP(D56,'Criteria-SBP'!$B$118:$R$184,17,FALSE) * G56,"")</f>
        <v/>
      </c>
      <c r="X56" s="298" t="str">
        <f>IF(U56="Yes",VLOOKUP(D56,'Criteria-SBP'!$B$114:$R$184,14,FALSE) / VLOOKUP(D56,'Criteria-SBP'!$B$118:$R$184,17,FALSE) * G56,"")</f>
        <v/>
      </c>
      <c r="Y56" s="248"/>
    </row>
    <row r="57" spans="2:25" ht="15" customHeight="1" x14ac:dyDescent="0.2">
      <c r="B57" s="197">
        <v>37</v>
      </c>
      <c r="C57" s="239"/>
      <c r="D57" s="101"/>
      <c r="E57" s="296" t="str">
        <f>IF(D57&lt;&gt;"",VLOOKUP(D57,'Criteria-SBP'!$B$114:$R$184,9,FALSE),"")</f>
        <v/>
      </c>
      <c r="F57" s="303"/>
      <c r="G57" s="304"/>
      <c r="H57" s="253"/>
      <c r="I57" s="153" t="str">
        <f t="shared" si="9"/>
        <v/>
      </c>
      <c r="J57" s="197" t="str">
        <f>IF(D57&lt;&gt;"",VLOOKUP(D57,'Criteria-SBP'!$B$114:$P$184,15,FALSE),"")</f>
        <v/>
      </c>
      <c r="K57" s="157" t="str">
        <f>IF(D57&lt;&gt;"",VLOOKUP(D57,'Criteria-SBP'!$B$114:$P$184,8,FALSE),"")</f>
        <v/>
      </c>
      <c r="L57" s="251" t="str">
        <f>IF(D57&lt;&gt;"","/ "&amp;VLOOKUP(D57,'Criteria-SBP'!$B$114:$P$184,9,FALSE),"")</f>
        <v/>
      </c>
      <c r="M57" s="255" t="str">
        <f>IF($D57&lt;&gt;"",IF(AND(U57="Yes",G57&lt;&gt;""),V57*F57,VLOOKUP($D57,'Criteria-SBP'!$B$114:$R$184,12,FALSE)*$F57),"")</f>
        <v/>
      </c>
      <c r="N57" s="250" t="str">
        <f>IF($D57&lt;&gt;"",IF(AND(U57="Yes",G57&lt;&gt;""),W57*F57,VLOOKUP($D57,'Criteria-SBP'!$B$114:$R$184,13,FALSE)*$F57),"")</f>
        <v/>
      </c>
      <c r="O57" s="250" t="str">
        <f>IF($D57&lt;&gt;"",IF(AND(U57="Yes",G57&lt;&gt;""),X57*F57,VLOOKUP($D57,'Criteria-SBP'!$B$114:$R$184,14,FALSE)*$F57),"")</f>
        <v/>
      </c>
      <c r="P57" s="178" t="str">
        <f t="shared" si="5"/>
        <v/>
      </c>
      <c r="Q57" s="170" t="str">
        <f t="shared" si="6"/>
        <v/>
      </c>
      <c r="R57" s="171" t="str">
        <f t="shared" si="7"/>
        <v/>
      </c>
      <c r="S57" s="187" t="str">
        <f t="shared" si="8"/>
        <v/>
      </c>
      <c r="T57" s="111" t="str">
        <f>IF($D57&lt;&gt;"",VLOOKUP($D57,'Criteria-SBP'!$B$114:$P$184,11,FALSE),"")</f>
        <v/>
      </c>
      <c r="U57" s="297" t="str">
        <f>IF(D57&lt;&gt;"",VLOOKUP(D57,'Criteria-SBP'!$B$114:$R$184,16,FALSE),"")</f>
        <v/>
      </c>
      <c r="V57" s="298" t="str">
        <f>IF(U57="Yes",VLOOKUP(D57,'Criteria-SBP'!$B$114:$R$184,12,FALSE) / VLOOKUP(D57,'Criteria-SBP'!$B$118:$R$184,17,FALSE) * G57,"")</f>
        <v/>
      </c>
      <c r="W57" s="298" t="str">
        <f>IF(U57="Yes",VLOOKUP(D57,'Criteria-SBP'!$B$114:$R$184,13,FALSE) / VLOOKUP(D57,'Criteria-SBP'!$B$118:$R$184,17,FALSE) * G57,"")</f>
        <v/>
      </c>
      <c r="X57" s="298" t="str">
        <f>IF(U57="Yes",VLOOKUP(D57,'Criteria-SBP'!$B$114:$R$184,14,FALSE) / VLOOKUP(D57,'Criteria-SBP'!$B$118:$R$184,17,FALSE) * G57,"")</f>
        <v/>
      </c>
      <c r="Y57" s="248"/>
    </row>
    <row r="58" spans="2:25" ht="15" customHeight="1" x14ac:dyDescent="0.2">
      <c r="B58" s="197">
        <v>38</v>
      </c>
      <c r="C58" s="239"/>
      <c r="D58" s="101"/>
      <c r="E58" s="296" t="str">
        <f>IF(D58&lt;&gt;"",VLOOKUP(D58,'Criteria-SBP'!$B$114:$R$184,9,FALSE),"")</f>
        <v/>
      </c>
      <c r="F58" s="303"/>
      <c r="G58" s="304"/>
      <c r="H58" s="253"/>
      <c r="I58" s="153" t="str">
        <f t="shared" si="9"/>
        <v/>
      </c>
      <c r="J58" s="197" t="str">
        <f>IF(D58&lt;&gt;"",VLOOKUP(D58,'Criteria-SBP'!$B$114:$P$184,15,FALSE),"")</f>
        <v/>
      </c>
      <c r="K58" s="157" t="str">
        <f>IF(D58&lt;&gt;"",VLOOKUP(D58,'Criteria-SBP'!$B$114:$P$184,8,FALSE),"")</f>
        <v/>
      </c>
      <c r="L58" s="251" t="str">
        <f>IF(D58&lt;&gt;"","/ "&amp;VLOOKUP(D58,'Criteria-SBP'!$B$114:$P$184,9,FALSE),"")</f>
        <v/>
      </c>
      <c r="M58" s="255" t="str">
        <f>IF($D58&lt;&gt;"",IF(AND(U58="Yes",G58&lt;&gt;""),V58*F58,VLOOKUP($D58,'Criteria-SBP'!$B$114:$R$184,12,FALSE)*$F58),"")</f>
        <v/>
      </c>
      <c r="N58" s="250" t="str">
        <f>IF($D58&lt;&gt;"",IF(AND(U58="Yes",G58&lt;&gt;""),W58*F58,VLOOKUP($D58,'Criteria-SBP'!$B$114:$R$184,13,FALSE)*$F58),"")</f>
        <v/>
      </c>
      <c r="O58" s="250" t="str">
        <f>IF($D58&lt;&gt;"",IF(AND(U58="Yes",G58&lt;&gt;""),X58*F58,VLOOKUP($D58,'Criteria-SBP'!$B$114:$R$184,14,FALSE)*$F58),"")</f>
        <v/>
      </c>
      <c r="P58" s="178" t="str">
        <f t="shared" si="5"/>
        <v/>
      </c>
      <c r="Q58" s="170" t="str">
        <f t="shared" si="6"/>
        <v/>
      </c>
      <c r="R58" s="171" t="str">
        <f t="shared" si="7"/>
        <v/>
      </c>
      <c r="S58" s="187" t="str">
        <f t="shared" si="8"/>
        <v/>
      </c>
      <c r="T58" s="111" t="str">
        <f>IF($D58&lt;&gt;"",VLOOKUP($D58,'Criteria-SBP'!$B$114:$P$184,11,FALSE),"")</f>
        <v/>
      </c>
      <c r="U58" s="297" t="str">
        <f>IF(D58&lt;&gt;"",VLOOKUP(D58,'Criteria-SBP'!$B$114:$R$184,16,FALSE),"")</f>
        <v/>
      </c>
      <c r="V58" s="298" t="str">
        <f>IF(U58="Yes",VLOOKUP(D58,'Criteria-SBP'!$B$114:$R$184,12,FALSE) / VLOOKUP(D58,'Criteria-SBP'!$B$118:$R$184,17,FALSE) * G58,"")</f>
        <v/>
      </c>
      <c r="W58" s="298" t="str">
        <f>IF(U58="Yes",VLOOKUP(D58,'Criteria-SBP'!$B$114:$R$184,13,FALSE) / VLOOKUP(D58,'Criteria-SBP'!$B$118:$R$184,17,FALSE) * G58,"")</f>
        <v/>
      </c>
      <c r="X58" s="298" t="str">
        <f>IF(U58="Yes",VLOOKUP(D58,'Criteria-SBP'!$B$114:$R$184,14,FALSE) / VLOOKUP(D58,'Criteria-SBP'!$B$118:$R$184,17,FALSE) * G58,"")</f>
        <v/>
      </c>
      <c r="Y58" s="248"/>
    </row>
    <row r="59" spans="2:25" ht="15" customHeight="1" x14ac:dyDescent="0.2">
      <c r="B59" s="197">
        <v>39</v>
      </c>
      <c r="C59" s="239"/>
      <c r="D59" s="101"/>
      <c r="E59" s="296" t="str">
        <f>IF(D59&lt;&gt;"",VLOOKUP(D59,'Criteria-SBP'!$B$114:$R$184,9,FALSE),"")</f>
        <v/>
      </c>
      <c r="F59" s="303"/>
      <c r="G59" s="304"/>
      <c r="H59" s="253"/>
      <c r="I59" s="153" t="str">
        <f t="shared" si="9"/>
        <v/>
      </c>
      <c r="J59" s="197" t="str">
        <f>IF(D59&lt;&gt;"",VLOOKUP(D59,'Criteria-SBP'!$B$114:$P$184,15,FALSE),"")</f>
        <v/>
      </c>
      <c r="K59" s="157" t="str">
        <f>IF(D59&lt;&gt;"",VLOOKUP(D59,'Criteria-SBP'!$B$114:$P$184,8,FALSE),"")</f>
        <v/>
      </c>
      <c r="L59" s="251" t="str">
        <f>IF(D59&lt;&gt;"","/ "&amp;VLOOKUP(D59,'Criteria-SBP'!$B$114:$P$184,9,FALSE),"")</f>
        <v/>
      </c>
      <c r="M59" s="255" t="str">
        <f>IF($D59&lt;&gt;"",IF(AND(U59="Yes",G59&lt;&gt;""),V59*F59,VLOOKUP($D59,'Criteria-SBP'!$B$114:$R$184,12,FALSE)*$F59),"")</f>
        <v/>
      </c>
      <c r="N59" s="250" t="str">
        <f>IF($D59&lt;&gt;"",IF(AND(U59="Yes",G59&lt;&gt;""),W59*F59,VLOOKUP($D59,'Criteria-SBP'!$B$114:$R$184,13,FALSE)*$F59),"")</f>
        <v/>
      </c>
      <c r="O59" s="250" t="str">
        <f>IF($D59&lt;&gt;"",IF(AND(U59="Yes",G59&lt;&gt;""),X59*F59,VLOOKUP($D59,'Criteria-SBP'!$B$114:$R$184,14,FALSE)*$F59),"")</f>
        <v/>
      </c>
      <c r="P59" s="178" t="str">
        <f t="shared" si="5"/>
        <v/>
      </c>
      <c r="Q59" s="170" t="str">
        <f t="shared" si="6"/>
        <v/>
      </c>
      <c r="R59" s="171" t="str">
        <f t="shared" si="7"/>
        <v/>
      </c>
      <c r="S59" s="187" t="str">
        <f t="shared" si="8"/>
        <v/>
      </c>
      <c r="T59" s="111" t="str">
        <f>IF($D59&lt;&gt;"",VLOOKUP($D59,'Criteria-SBP'!$B$114:$P$184,11,FALSE),"")</f>
        <v/>
      </c>
      <c r="U59" s="297" t="str">
        <f>IF(D59&lt;&gt;"",VLOOKUP(D59,'Criteria-SBP'!$B$114:$R$184,16,FALSE),"")</f>
        <v/>
      </c>
      <c r="V59" s="298" t="str">
        <f>IF(U59="Yes",VLOOKUP(D59,'Criteria-SBP'!$B$114:$R$184,12,FALSE) / VLOOKUP(D59,'Criteria-SBP'!$B$118:$R$184,17,FALSE) * G59,"")</f>
        <v/>
      </c>
      <c r="W59" s="298" t="str">
        <f>IF(U59="Yes",VLOOKUP(D59,'Criteria-SBP'!$B$114:$R$184,13,FALSE) / VLOOKUP(D59,'Criteria-SBP'!$B$118:$R$184,17,FALSE) * G59,"")</f>
        <v/>
      </c>
      <c r="X59" s="298" t="str">
        <f>IF(U59="Yes",VLOOKUP(D59,'Criteria-SBP'!$B$114:$R$184,14,FALSE) / VLOOKUP(D59,'Criteria-SBP'!$B$118:$R$184,17,FALSE) * G59,"")</f>
        <v/>
      </c>
      <c r="Y59" s="248"/>
    </row>
    <row r="60" spans="2:25" ht="15" customHeight="1" x14ac:dyDescent="0.2">
      <c r="B60" s="197">
        <v>40</v>
      </c>
      <c r="C60" s="239"/>
      <c r="D60" s="101"/>
      <c r="E60" s="296" t="str">
        <f>IF(D60&lt;&gt;"",VLOOKUP(D60,'Criteria-SBP'!$B$114:$R$184,9,FALSE),"")</f>
        <v/>
      </c>
      <c r="F60" s="303"/>
      <c r="G60" s="304"/>
      <c r="H60" s="253"/>
      <c r="I60" s="153" t="str">
        <f t="shared" si="9"/>
        <v/>
      </c>
      <c r="J60" s="197" t="str">
        <f>IF(D60&lt;&gt;"",VLOOKUP(D60,'Criteria-SBP'!$B$114:$P$184,15,FALSE),"")</f>
        <v/>
      </c>
      <c r="K60" s="157" t="str">
        <f>IF(D60&lt;&gt;"",VLOOKUP(D60,'Criteria-SBP'!$B$114:$P$184,8,FALSE),"")</f>
        <v/>
      </c>
      <c r="L60" s="251" t="str">
        <f>IF(D60&lt;&gt;"","/ "&amp;VLOOKUP(D60,'Criteria-SBP'!$B$114:$P$184,9,FALSE),"")</f>
        <v/>
      </c>
      <c r="M60" s="255" t="str">
        <f>IF($D60&lt;&gt;"",IF(AND(U60="Yes",G60&lt;&gt;""),V60*F60,VLOOKUP($D60,'Criteria-SBP'!$B$114:$R$184,12,FALSE)*$F60),"")</f>
        <v/>
      </c>
      <c r="N60" s="250" t="str">
        <f>IF($D60&lt;&gt;"",IF(AND(U60="Yes",G60&lt;&gt;""),W60*F60,VLOOKUP($D60,'Criteria-SBP'!$B$114:$R$184,13,FALSE)*$F60),"")</f>
        <v/>
      </c>
      <c r="O60" s="250" t="str">
        <f>IF($D60&lt;&gt;"",IF(AND(U60="Yes",G60&lt;&gt;""),X60*F60,VLOOKUP($D60,'Criteria-SBP'!$B$114:$R$184,14,FALSE)*$F60),"")</f>
        <v/>
      </c>
      <c r="P60" s="178" t="str">
        <f t="shared" si="5"/>
        <v/>
      </c>
      <c r="Q60" s="170" t="str">
        <f t="shared" si="6"/>
        <v/>
      </c>
      <c r="R60" s="171" t="str">
        <f t="shared" si="7"/>
        <v/>
      </c>
      <c r="S60" s="187" t="str">
        <f t="shared" si="8"/>
        <v/>
      </c>
      <c r="T60" s="111" t="str">
        <f>IF($D60&lt;&gt;"",VLOOKUP($D60,'Criteria-SBP'!$B$114:$P$184,11,FALSE),"")</f>
        <v/>
      </c>
      <c r="U60" s="297" t="str">
        <f>IF(D60&lt;&gt;"",VLOOKUP(D60,'Criteria-SBP'!$B$114:$R$184,16,FALSE),"")</f>
        <v/>
      </c>
      <c r="V60" s="298" t="str">
        <f>IF(U60="Yes",VLOOKUP(D60,'Criteria-SBP'!$B$114:$R$184,12,FALSE) / VLOOKUP(D60,'Criteria-SBP'!$B$118:$R$184,17,FALSE) * G60,"")</f>
        <v/>
      </c>
      <c r="W60" s="298" t="str">
        <f>IF(U60="Yes",VLOOKUP(D60,'Criteria-SBP'!$B$114:$R$184,13,FALSE) / VLOOKUP(D60,'Criteria-SBP'!$B$118:$R$184,17,FALSE) * G60,"")</f>
        <v/>
      </c>
      <c r="X60" s="298" t="str">
        <f>IF(U60="Yes",VLOOKUP(D60,'Criteria-SBP'!$B$114:$R$184,14,FALSE) / VLOOKUP(D60,'Criteria-SBP'!$B$118:$R$184,17,FALSE) * G60,"")</f>
        <v/>
      </c>
      <c r="Y60" s="248"/>
    </row>
    <row r="61" spans="2:25" ht="15" customHeight="1" x14ac:dyDescent="0.2">
      <c r="B61" s="197">
        <v>41</v>
      </c>
      <c r="C61" s="239"/>
      <c r="D61" s="101"/>
      <c r="E61" s="296" t="str">
        <f>IF(D61&lt;&gt;"",VLOOKUP(D61,'Criteria-SBP'!$B$114:$R$184,9,FALSE),"")</f>
        <v/>
      </c>
      <c r="F61" s="303"/>
      <c r="G61" s="304"/>
      <c r="H61" s="253"/>
      <c r="I61" s="153" t="str">
        <f t="shared" si="9"/>
        <v/>
      </c>
      <c r="J61" s="197" t="str">
        <f>IF(D61&lt;&gt;"",VLOOKUP(D61,'Criteria-SBP'!$B$114:$P$184,15,FALSE),"")</f>
        <v/>
      </c>
      <c r="K61" s="157" t="str">
        <f>IF(D61&lt;&gt;"",VLOOKUP(D61,'Criteria-SBP'!$B$114:$P$184,8,FALSE),"")</f>
        <v/>
      </c>
      <c r="L61" s="251" t="str">
        <f>IF(D61&lt;&gt;"","/ "&amp;VLOOKUP(D61,'Criteria-SBP'!$B$114:$P$184,9,FALSE),"")</f>
        <v/>
      </c>
      <c r="M61" s="255" t="str">
        <f>IF($D61&lt;&gt;"",IF(AND(U61="Yes",G61&lt;&gt;""),V61*F61,VLOOKUP($D61,'Criteria-SBP'!$B$114:$R$184,12,FALSE)*$F61),"")</f>
        <v/>
      </c>
      <c r="N61" s="250" t="str">
        <f>IF($D61&lt;&gt;"",IF(AND(U61="Yes",G61&lt;&gt;""),W61*F61,VLOOKUP($D61,'Criteria-SBP'!$B$114:$R$184,13,FALSE)*$F61),"")</f>
        <v/>
      </c>
      <c r="O61" s="250" t="str">
        <f>IF($D61&lt;&gt;"",IF(AND(U61="Yes",G61&lt;&gt;""),X61*F61,VLOOKUP($D61,'Criteria-SBP'!$B$114:$R$184,14,FALSE)*$F61),"")</f>
        <v/>
      </c>
      <c r="P61" s="178" t="str">
        <f t="shared" si="5"/>
        <v/>
      </c>
      <c r="Q61" s="170" t="str">
        <f t="shared" si="6"/>
        <v/>
      </c>
      <c r="R61" s="171" t="str">
        <f t="shared" si="7"/>
        <v/>
      </c>
      <c r="S61" s="187" t="str">
        <f t="shared" si="8"/>
        <v/>
      </c>
      <c r="T61" s="111" t="str">
        <f>IF($D61&lt;&gt;"",VLOOKUP($D61,'Criteria-SBP'!$B$114:$P$184,11,FALSE),"")</f>
        <v/>
      </c>
      <c r="U61" s="297" t="str">
        <f>IF(D61&lt;&gt;"",VLOOKUP(D61,'Criteria-SBP'!$B$114:$R$184,16,FALSE),"")</f>
        <v/>
      </c>
      <c r="V61" s="298" t="str">
        <f>IF(U61="Yes",VLOOKUP(D61,'Criteria-SBP'!$B$114:$R$184,12,FALSE) / VLOOKUP(D61,'Criteria-SBP'!$B$118:$R$184,17,FALSE) * G61,"")</f>
        <v/>
      </c>
      <c r="W61" s="298" t="str">
        <f>IF(U61="Yes",VLOOKUP(D61,'Criteria-SBP'!$B$114:$R$184,13,FALSE) / VLOOKUP(D61,'Criteria-SBP'!$B$118:$R$184,17,FALSE) * G61,"")</f>
        <v/>
      </c>
      <c r="X61" s="298" t="str">
        <f>IF(U61="Yes",VLOOKUP(D61,'Criteria-SBP'!$B$114:$R$184,14,FALSE) / VLOOKUP(D61,'Criteria-SBP'!$B$118:$R$184,17,FALSE) * G61,"")</f>
        <v/>
      </c>
      <c r="Y61" s="248"/>
    </row>
    <row r="62" spans="2:25" ht="15" customHeight="1" x14ac:dyDescent="0.2">
      <c r="B62" s="197">
        <v>42</v>
      </c>
      <c r="C62" s="239"/>
      <c r="D62" s="101"/>
      <c r="E62" s="296" t="str">
        <f>IF(D62&lt;&gt;"",VLOOKUP(D62,'Criteria-SBP'!$B$114:$R$184,9,FALSE),"")</f>
        <v/>
      </c>
      <c r="F62" s="303"/>
      <c r="G62" s="304"/>
      <c r="H62" s="253"/>
      <c r="I62" s="153" t="str">
        <f t="shared" si="9"/>
        <v/>
      </c>
      <c r="J62" s="197" t="str">
        <f>IF(D62&lt;&gt;"",VLOOKUP(D62,'Criteria-SBP'!$B$114:$P$184,15,FALSE),"")</f>
        <v/>
      </c>
      <c r="K62" s="157" t="str">
        <f>IF(D62&lt;&gt;"",VLOOKUP(D62,'Criteria-SBP'!$B$114:$P$184,8,FALSE),"")</f>
        <v/>
      </c>
      <c r="L62" s="251" t="str">
        <f>IF(D62&lt;&gt;"","/ "&amp;VLOOKUP(D62,'Criteria-SBP'!$B$114:$P$184,9,FALSE),"")</f>
        <v/>
      </c>
      <c r="M62" s="255" t="str">
        <f>IF($D62&lt;&gt;"",IF(AND(U62="Yes",G62&lt;&gt;""),V62*F62,VLOOKUP($D62,'Criteria-SBP'!$B$114:$R$184,12,FALSE)*$F62),"")</f>
        <v/>
      </c>
      <c r="N62" s="250" t="str">
        <f>IF($D62&lt;&gt;"",IF(AND(U62="Yes",G62&lt;&gt;""),W62*F62,VLOOKUP($D62,'Criteria-SBP'!$B$114:$R$184,13,FALSE)*$F62),"")</f>
        <v/>
      </c>
      <c r="O62" s="250" t="str">
        <f>IF($D62&lt;&gt;"",IF(AND(U62="Yes",G62&lt;&gt;""),X62*F62,VLOOKUP($D62,'Criteria-SBP'!$B$114:$R$184,14,FALSE)*$F62),"")</f>
        <v/>
      </c>
      <c r="P62" s="178" t="str">
        <f t="shared" si="5"/>
        <v/>
      </c>
      <c r="Q62" s="170" t="str">
        <f t="shared" si="6"/>
        <v/>
      </c>
      <c r="R62" s="171" t="str">
        <f t="shared" si="7"/>
        <v/>
      </c>
      <c r="S62" s="187" t="str">
        <f t="shared" si="8"/>
        <v/>
      </c>
      <c r="T62" s="111" t="str">
        <f>IF($D62&lt;&gt;"",VLOOKUP($D62,'Criteria-SBP'!$B$114:$P$184,11,FALSE),"")</f>
        <v/>
      </c>
      <c r="U62" s="297" t="str">
        <f>IF(D62&lt;&gt;"",VLOOKUP(D62,'Criteria-SBP'!$B$114:$R$184,16,FALSE),"")</f>
        <v/>
      </c>
      <c r="V62" s="298" t="str">
        <f>IF(U62="Yes",VLOOKUP(D62,'Criteria-SBP'!$B$114:$R$184,12,FALSE) / VLOOKUP(D62,'Criteria-SBP'!$B$118:$R$184,17,FALSE) * G62,"")</f>
        <v/>
      </c>
      <c r="W62" s="298" t="str">
        <f>IF(U62="Yes",VLOOKUP(D62,'Criteria-SBP'!$B$114:$R$184,13,FALSE) / VLOOKUP(D62,'Criteria-SBP'!$B$118:$R$184,17,FALSE) * G62,"")</f>
        <v/>
      </c>
      <c r="X62" s="298" t="str">
        <f>IF(U62="Yes",VLOOKUP(D62,'Criteria-SBP'!$B$114:$R$184,14,FALSE) / VLOOKUP(D62,'Criteria-SBP'!$B$118:$R$184,17,FALSE) * G62,"")</f>
        <v/>
      </c>
      <c r="Y62" s="248"/>
    </row>
    <row r="63" spans="2:25" ht="15" customHeight="1" x14ac:dyDescent="0.2">
      <c r="B63" s="197">
        <v>43</v>
      </c>
      <c r="C63" s="239"/>
      <c r="D63" s="101"/>
      <c r="E63" s="296" t="str">
        <f>IF(D63&lt;&gt;"",VLOOKUP(D63,'Criteria-SBP'!$B$114:$R$184,9,FALSE),"")</f>
        <v/>
      </c>
      <c r="F63" s="303"/>
      <c r="G63" s="304"/>
      <c r="H63" s="253"/>
      <c r="I63" s="153" t="str">
        <f t="shared" si="9"/>
        <v/>
      </c>
      <c r="J63" s="197" t="str">
        <f>IF(D63&lt;&gt;"",VLOOKUP(D63,'Criteria-SBP'!$B$114:$P$184,15,FALSE),"")</f>
        <v/>
      </c>
      <c r="K63" s="157" t="str">
        <f>IF(D63&lt;&gt;"",VLOOKUP(D63,'Criteria-SBP'!$B$114:$P$184,8,FALSE),"")</f>
        <v/>
      </c>
      <c r="L63" s="251" t="str">
        <f>IF(D63&lt;&gt;"","/ "&amp;VLOOKUP(D63,'Criteria-SBP'!$B$114:$P$184,9,FALSE),"")</f>
        <v/>
      </c>
      <c r="M63" s="255" t="str">
        <f>IF($D63&lt;&gt;"",IF(AND(U63="Yes",G63&lt;&gt;""),V63*F63,VLOOKUP($D63,'Criteria-SBP'!$B$114:$R$184,12,FALSE)*$F63),"")</f>
        <v/>
      </c>
      <c r="N63" s="250" t="str">
        <f>IF($D63&lt;&gt;"",IF(AND(U63="Yes",G63&lt;&gt;""),W63*F63,VLOOKUP($D63,'Criteria-SBP'!$B$114:$R$184,13,FALSE)*$F63),"")</f>
        <v/>
      </c>
      <c r="O63" s="250" t="str">
        <f>IF($D63&lt;&gt;"",IF(AND(U63="Yes",G63&lt;&gt;""),X63*F63,VLOOKUP($D63,'Criteria-SBP'!$B$114:$R$184,14,FALSE)*$F63),"")</f>
        <v/>
      </c>
      <c r="P63" s="178" t="str">
        <f t="shared" si="5"/>
        <v/>
      </c>
      <c r="Q63" s="170" t="str">
        <f t="shared" si="6"/>
        <v/>
      </c>
      <c r="R63" s="171" t="str">
        <f t="shared" si="7"/>
        <v/>
      </c>
      <c r="S63" s="187" t="str">
        <f t="shared" si="8"/>
        <v/>
      </c>
      <c r="T63" s="111" t="str">
        <f>IF($D63&lt;&gt;"",VLOOKUP($D63,'Criteria-SBP'!$B$114:$P$184,11,FALSE),"")</f>
        <v/>
      </c>
      <c r="U63" s="297" t="str">
        <f>IF(D63&lt;&gt;"",VLOOKUP(D63,'Criteria-SBP'!$B$114:$R$184,16,FALSE),"")</f>
        <v/>
      </c>
      <c r="V63" s="298" t="str">
        <f>IF(U63="Yes",VLOOKUP(D63,'Criteria-SBP'!$B$114:$R$184,12,FALSE) / VLOOKUP(D63,'Criteria-SBP'!$B$118:$R$184,17,FALSE) * G63,"")</f>
        <v/>
      </c>
      <c r="W63" s="298" t="str">
        <f>IF(U63="Yes",VLOOKUP(D63,'Criteria-SBP'!$B$114:$R$184,13,FALSE) / VLOOKUP(D63,'Criteria-SBP'!$B$118:$R$184,17,FALSE) * G63,"")</f>
        <v/>
      </c>
      <c r="X63" s="298" t="str">
        <f>IF(U63="Yes",VLOOKUP(D63,'Criteria-SBP'!$B$114:$R$184,14,FALSE) / VLOOKUP(D63,'Criteria-SBP'!$B$118:$R$184,17,FALSE) * G63,"")</f>
        <v/>
      </c>
      <c r="Y63" s="248"/>
    </row>
    <row r="64" spans="2:25" ht="15" customHeight="1" x14ac:dyDescent="0.2">
      <c r="B64" s="197">
        <v>44</v>
      </c>
      <c r="C64" s="239"/>
      <c r="D64" s="101"/>
      <c r="E64" s="296" t="str">
        <f>IF(D64&lt;&gt;"",VLOOKUP(D64,'Criteria-SBP'!$B$114:$R$184,9,FALSE),"")</f>
        <v/>
      </c>
      <c r="F64" s="303"/>
      <c r="G64" s="304"/>
      <c r="H64" s="253"/>
      <c r="I64" s="153" t="str">
        <f t="shared" si="9"/>
        <v/>
      </c>
      <c r="J64" s="197" t="str">
        <f>IF(D64&lt;&gt;"",VLOOKUP(D64,'Criteria-SBP'!$B$114:$P$184,15,FALSE),"")</f>
        <v/>
      </c>
      <c r="K64" s="157" t="str">
        <f>IF(D64&lt;&gt;"",VLOOKUP(D64,'Criteria-SBP'!$B$114:$P$184,8,FALSE),"")</f>
        <v/>
      </c>
      <c r="L64" s="251" t="str">
        <f>IF(D64&lt;&gt;"","/ "&amp;VLOOKUP(D64,'Criteria-SBP'!$B$114:$P$184,9,FALSE),"")</f>
        <v/>
      </c>
      <c r="M64" s="255" t="str">
        <f>IF($D64&lt;&gt;"",IF(AND(U64="Yes",G64&lt;&gt;""),V64*F64,VLOOKUP($D64,'Criteria-SBP'!$B$114:$R$184,12,FALSE)*$F64),"")</f>
        <v/>
      </c>
      <c r="N64" s="250" t="str">
        <f>IF($D64&lt;&gt;"",IF(AND(U64="Yes",G64&lt;&gt;""),W64*F64,VLOOKUP($D64,'Criteria-SBP'!$B$114:$R$184,13,FALSE)*$F64),"")</f>
        <v/>
      </c>
      <c r="O64" s="250" t="str">
        <f>IF($D64&lt;&gt;"",IF(AND(U64="Yes",G64&lt;&gt;""),X64*F64,VLOOKUP($D64,'Criteria-SBP'!$B$114:$R$184,14,FALSE)*$F64),"")</f>
        <v/>
      </c>
      <c r="P64" s="178" t="str">
        <f t="shared" si="5"/>
        <v/>
      </c>
      <c r="Q64" s="170" t="str">
        <f t="shared" si="6"/>
        <v/>
      </c>
      <c r="R64" s="171" t="str">
        <f t="shared" si="7"/>
        <v/>
      </c>
      <c r="S64" s="187" t="str">
        <f t="shared" si="8"/>
        <v/>
      </c>
      <c r="T64" s="111" t="str">
        <f>IF($D64&lt;&gt;"",VLOOKUP($D64,'Criteria-SBP'!$B$114:$P$184,11,FALSE),"")</f>
        <v/>
      </c>
      <c r="U64" s="297" t="str">
        <f>IF(D64&lt;&gt;"",VLOOKUP(D64,'Criteria-SBP'!$B$114:$R$184,16,FALSE),"")</f>
        <v/>
      </c>
      <c r="V64" s="298" t="str">
        <f>IF(U64="Yes",VLOOKUP(D64,'Criteria-SBP'!$B$114:$R$184,12,FALSE) / VLOOKUP(D64,'Criteria-SBP'!$B$118:$R$184,17,FALSE) * G64,"")</f>
        <v/>
      </c>
      <c r="W64" s="298" t="str">
        <f>IF(U64="Yes",VLOOKUP(D64,'Criteria-SBP'!$B$114:$R$184,13,FALSE) / VLOOKUP(D64,'Criteria-SBP'!$B$118:$R$184,17,FALSE) * G64,"")</f>
        <v/>
      </c>
      <c r="X64" s="298" t="str">
        <f>IF(U64="Yes",VLOOKUP(D64,'Criteria-SBP'!$B$114:$R$184,14,FALSE) / VLOOKUP(D64,'Criteria-SBP'!$B$118:$R$184,17,FALSE) * G64,"")</f>
        <v/>
      </c>
      <c r="Y64" s="248"/>
    </row>
    <row r="65" spans="2:25" ht="15" customHeight="1" x14ac:dyDescent="0.2">
      <c r="B65" s="197">
        <v>45</v>
      </c>
      <c r="C65" s="239"/>
      <c r="D65" s="101"/>
      <c r="E65" s="296" t="str">
        <f>IF(D65&lt;&gt;"",VLOOKUP(D65,'Criteria-SBP'!$B$114:$R$184,9,FALSE),"")</f>
        <v/>
      </c>
      <c r="F65" s="303"/>
      <c r="G65" s="304"/>
      <c r="H65" s="253"/>
      <c r="I65" s="153" t="str">
        <f t="shared" si="9"/>
        <v/>
      </c>
      <c r="J65" s="197" t="str">
        <f>IF(D65&lt;&gt;"",VLOOKUP(D65,'Criteria-SBP'!$B$114:$P$184,15,FALSE),"")</f>
        <v/>
      </c>
      <c r="K65" s="157" t="str">
        <f>IF(D65&lt;&gt;"",VLOOKUP(D65,'Criteria-SBP'!$B$114:$P$184,8,FALSE),"")</f>
        <v/>
      </c>
      <c r="L65" s="251" t="str">
        <f>IF(D65&lt;&gt;"","/ "&amp;VLOOKUP(D65,'Criteria-SBP'!$B$114:$P$184,9,FALSE),"")</f>
        <v/>
      </c>
      <c r="M65" s="255" t="str">
        <f>IF($D65&lt;&gt;"",IF(AND(U65="Yes",G65&lt;&gt;""),V65*F65,VLOOKUP($D65,'Criteria-SBP'!$B$114:$R$184,12,FALSE)*$F65),"")</f>
        <v/>
      </c>
      <c r="N65" s="250" t="str">
        <f>IF($D65&lt;&gt;"",IF(AND(U65="Yes",G65&lt;&gt;""),W65*F65,VLOOKUP($D65,'Criteria-SBP'!$B$114:$R$184,13,FALSE)*$F65),"")</f>
        <v/>
      </c>
      <c r="O65" s="250" t="str">
        <f>IF($D65&lt;&gt;"",IF(AND(U65="Yes",G65&lt;&gt;""),X65*F65,VLOOKUP($D65,'Criteria-SBP'!$B$114:$R$184,14,FALSE)*$F65),"")</f>
        <v/>
      </c>
      <c r="P65" s="178" t="str">
        <f t="shared" si="5"/>
        <v/>
      </c>
      <c r="Q65" s="170" t="str">
        <f t="shared" si="6"/>
        <v/>
      </c>
      <c r="R65" s="171" t="str">
        <f t="shared" si="7"/>
        <v/>
      </c>
      <c r="S65" s="187" t="str">
        <f t="shared" si="8"/>
        <v/>
      </c>
      <c r="T65" s="111" t="str">
        <f>IF($D65&lt;&gt;"",VLOOKUP($D65,'Criteria-SBP'!$B$114:$P$184,11,FALSE),"")</f>
        <v/>
      </c>
      <c r="U65" s="297" t="str">
        <f>IF(D65&lt;&gt;"",VLOOKUP(D65,'Criteria-SBP'!$B$114:$R$184,16,FALSE),"")</f>
        <v/>
      </c>
      <c r="V65" s="298" t="str">
        <f>IF(U65="Yes",VLOOKUP(D65,'Criteria-SBP'!$B$114:$R$184,12,FALSE) / VLOOKUP(D65,'Criteria-SBP'!$B$118:$R$184,17,FALSE) * G65,"")</f>
        <v/>
      </c>
      <c r="W65" s="298" t="str">
        <f>IF(U65="Yes",VLOOKUP(D65,'Criteria-SBP'!$B$114:$R$184,13,FALSE) / VLOOKUP(D65,'Criteria-SBP'!$B$118:$R$184,17,FALSE) * G65,"")</f>
        <v/>
      </c>
      <c r="X65" s="298" t="str">
        <f>IF(U65="Yes",VLOOKUP(D65,'Criteria-SBP'!$B$114:$R$184,14,FALSE) / VLOOKUP(D65,'Criteria-SBP'!$B$118:$R$184,17,FALSE) * G65,"")</f>
        <v/>
      </c>
      <c r="Y65" s="248"/>
    </row>
    <row r="66" spans="2:25" ht="15" customHeight="1" x14ac:dyDescent="0.2">
      <c r="B66" s="197">
        <v>46</v>
      </c>
      <c r="C66" s="239"/>
      <c r="D66" s="101"/>
      <c r="E66" s="296" t="str">
        <f>IF(D66&lt;&gt;"",VLOOKUP(D66,'Criteria-SBP'!$B$114:$R$184,9,FALSE),"")</f>
        <v/>
      </c>
      <c r="F66" s="303"/>
      <c r="G66" s="304"/>
      <c r="H66" s="253"/>
      <c r="I66" s="153" t="str">
        <f t="shared" si="9"/>
        <v/>
      </c>
      <c r="J66" s="197" t="str">
        <f>IF(D66&lt;&gt;"",VLOOKUP(D66,'Criteria-SBP'!$B$114:$P$184,15,FALSE),"")</f>
        <v/>
      </c>
      <c r="K66" s="157" t="str">
        <f>IF(D66&lt;&gt;"",VLOOKUP(D66,'Criteria-SBP'!$B$114:$P$184,8,FALSE),"")</f>
        <v/>
      </c>
      <c r="L66" s="251" t="str">
        <f>IF(D66&lt;&gt;"","/ "&amp;VLOOKUP(D66,'Criteria-SBP'!$B$114:$P$184,9,FALSE),"")</f>
        <v/>
      </c>
      <c r="M66" s="255" t="str">
        <f>IF($D66&lt;&gt;"",IF(AND(U66="Yes",G66&lt;&gt;""),V66*F66,VLOOKUP($D66,'Criteria-SBP'!$B$114:$R$184,12,FALSE)*$F66),"")</f>
        <v/>
      </c>
      <c r="N66" s="250" t="str">
        <f>IF($D66&lt;&gt;"",IF(AND(U66="Yes",G66&lt;&gt;""),W66*F66,VLOOKUP($D66,'Criteria-SBP'!$B$114:$R$184,13,FALSE)*$F66),"")</f>
        <v/>
      </c>
      <c r="O66" s="250" t="str">
        <f>IF($D66&lt;&gt;"",IF(AND(U66="Yes",G66&lt;&gt;""),X66*F66,VLOOKUP($D66,'Criteria-SBP'!$B$114:$R$184,14,FALSE)*$F66),"")</f>
        <v/>
      </c>
      <c r="P66" s="178" t="str">
        <f t="shared" si="5"/>
        <v/>
      </c>
      <c r="Q66" s="170" t="str">
        <f t="shared" si="6"/>
        <v/>
      </c>
      <c r="R66" s="171" t="str">
        <f t="shared" si="7"/>
        <v/>
      </c>
      <c r="S66" s="187" t="str">
        <f t="shared" si="8"/>
        <v/>
      </c>
      <c r="T66" s="111" t="str">
        <f>IF($D66&lt;&gt;"",VLOOKUP($D66,'Criteria-SBP'!$B$114:$P$184,11,FALSE),"")</f>
        <v/>
      </c>
      <c r="U66" s="297" t="str">
        <f>IF(D66&lt;&gt;"",VLOOKUP(D66,'Criteria-SBP'!$B$114:$R$184,16,FALSE),"")</f>
        <v/>
      </c>
      <c r="V66" s="298" t="str">
        <f>IF(U66="Yes",VLOOKUP(D66,'Criteria-SBP'!$B$114:$R$184,12,FALSE) / VLOOKUP(D66,'Criteria-SBP'!$B$118:$R$184,17,FALSE) * G66,"")</f>
        <v/>
      </c>
      <c r="W66" s="298" t="str">
        <f>IF(U66="Yes",VLOOKUP(D66,'Criteria-SBP'!$B$114:$R$184,13,FALSE) / VLOOKUP(D66,'Criteria-SBP'!$B$118:$R$184,17,FALSE) * G66,"")</f>
        <v/>
      </c>
      <c r="X66" s="298" t="str">
        <f>IF(U66="Yes",VLOOKUP(D66,'Criteria-SBP'!$B$114:$R$184,14,FALSE) / VLOOKUP(D66,'Criteria-SBP'!$B$118:$R$184,17,FALSE) * G66,"")</f>
        <v/>
      </c>
      <c r="Y66" s="248"/>
    </row>
    <row r="67" spans="2:25" ht="15" customHeight="1" x14ac:dyDescent="0.2">
      <c r="B67" s="197">
        <v>47</v>
      </c>
      <c r="C67" s="239"/>
      <c r="D67" s="101"/>
      <c r="E67" s="296" t="str">
        <f>IF(D67&lt;&gt;"",VLOOKUP(D67,'Criteria-SBP'!$B$114:$R$184,9,FALSE),"")</f>
        <v/>
      </c>
      <c r="F67" s="303"/>
      <c r="G67" s="304"/>
      <c r="H67" s="253"/>
      <c r="I67" s="153" t="str">
        <f t="shared" si="9"/>
        <v/>
      </c>
      <c r="J67" s="197" t="str">
        <f>IF(D67&lt;&gt;"",VLOOKUP(D67,'Criteria-SBP'!$B$114:$P$184,15,FALSE),"")</f>
        <v/>
      </c>
      <c r="K67" s="157" t="str">
        <f>IF(D67&lt;&gt;"",VLOOKUP(D67,'Criteria-SBP'!$B$114:$P$184,8,FALSE),"")</f>
        <v/>
      </c>
      <c r="L67" s="251" t="str">
        <f>IF(D67&lt;&gt;"","/ "&amp;VLOOKUP(D67,'Criteria-SBP'!$B$114:$P$184,9,FALSE),"")</f>
        <v/>
      </c>
      <c r="M67" s="255" t="str">
        <f>IF($D67&lt;&gt;"",IF(AND(U67="Yes",G67&lt;&gt;""),V67*F67,VLOOKUP($D67,'Criteria-SBP'!$B$114:$R$184,12,FALSE)*$F67),"")</f>
        <v/>
      </c>
      <c r="N67" s="250" t="str">
        <f>IF($D67&lt;&gt;"",IF(AND(U67="Yes",G67&lt;&gt;""),W67*F67,VLOOKUP($D67,'Criteria-SBP'!$B$114:$R$184,13,FALSE)*$F67),"")</f>
        <v/>
      </c>
      <c r="O67" s="250" t="str">
        <f>IF($D67&lt;&gt;"",IF(AND(U67="Yes",G67&lt;&gt;""),X67*F67,VLOOKUP($D67,'Criteria-SBP'!$B$114:$R$184,14,FALSE)*$F67),"")</f>
        <v/>
      </c>
      <c r="P67" s="178" t="str">
        <f t="shared" si="5"/>
        <v/>
      </c>
      <c r="Q67" s="170" t="str">
        <f t="shared" si="6"/>
        <v/>
      </c>
      <c r="R67" s="171" t="str">
        <f t="shared" si="7"/>
        <v/>
      </c>
      <c r="S67" s="187" t="str">
        <f t="shared" si="8"/>
        <v/>
      </c>
      <c r="T67" s="111" t="str">
        <f>IF($D67&lt;&gt;"",VLOOKUP($D67,'Criteria-SBP'!$B$114:$P$184,11,FALSE),"")</f>
        <v/>
      </c>
      <c r="U67" s="297" t="str">
        <f>IF(D67&lt;&gt;"",VLOOKUP(D67,'Criteria-SBP'!$B$114:$R$184,16,FALSE),"")</f>
        <v/>
      </c>
      <c r="V67" s="298" t="str">
        <f>IF(U67="Yes",VLOOKUP(D67,'Criteria-SBP'!$B$114:$R$184,12,FALSE) / VLOOKUP(D67,'Criteria-SBP'!$B$118:$R$184,17,FALSE) * G67,"")</f>
        <v/>
      </c>
      <c r="W67" s="298" t="str">
        <f>IF(U67="Yes",VLOOKUP(D67,'Criteria-SBP'!$B$114:$R$184,13,FALSE) / VLOOKUP(D67,'Criteria-SBP'!$B$118:$R$184,17,FALSE) * G67,"")</f>
        <v/>
      </c>
      <c r="X67" s="298" t="str">
        <f>IF(U67="Yes",VLOOKUP(D67,'Criteria-SBP'!$B$114:$R$184,14,FALSE) / VLOOKUP(D67,'Criteria-SBP'!$B$118:$R$184,17,FALSE) * G67,"")</f>
        <v/>
      </c>
      <c r="Y67" s="248"/>
    </row>
    <row r="68" spans="2:25" ht="15" customHeight="1" x14ac:dyDescent="0.2">
      <c r="B68" s="197">
        <v>48</v>
      </c>
      <c r="C68" s="239"/>
      <c r="D68" s="101"/>
      <c r="E68" s="296" t="str">
        <f>IF(D68&lt;&gt;"",VLOOKUP(D68,'Criteria-SBP'!$B$114:$R$184,9,FALSE),"")</f>
        <v/>
      </c>
      <c r="F68" s="303"/>
      <c r="G68" s="304"/>
      <c r="H68" s="253"/>
      <c r="I68" s="153" t="str">
        <f t="shared" si="9"/>
        <v/>
      </c>
      <c r="J68" s="197" t="str">
        <f>IF(D68&lt;&gt;"",VLOOKUP(D68,'Criteria-SBP'!$B$114:$P$184,15,FALSE),"")</f>
        <v/>
      </c>
      <c r="K68" s="157" t="str">
        <f>IF(D68&lt;&gt;"",VLOOKUP(D68,'Criteria-SBP'!$B$114:$P$184,8,FALSE),"")</f>
        <v/>
      </c>
      <c r="L68" s="251" t="str">
        <f>IF(D68&lt;&gt;"","/ "&amp;VLOOKUP(D68,'Criteria-SBP'!$B$114:$P$184,9,FALSE),"")</f>
        <v/>
      </c>
      <c r="M68" s="255" t="str">
        <f>IF($D68&lt;&gt;"",IF(AND(U68="Yes",G68&lt;&gt;""),V68*F68,VLOOKUP($D68,'Criteria-SBP'!$B$114:$R$184,12,FALSE)*$F68),"")</f>
        <v/>
      </c>
      <c r="N68" s="250" t="str">
        <f>IF($D68&lt;&gt;"",IF(AND(U68="Yes",G68&lt;&gt;""),W68*F68,VLOOKUP($D68,'Criteria-SBP'!$B$114:$R$184,13,FALSE)*$F68),"")</f>
        <v/>
      </c>
      <c r="O68" s="250" t="str">
        <f>IF($D68&lt;&gt;"",IF(AND(U68="Yes",G68&lt;&gt;""),X68*F68,VLOOKUP($D68,'Criteria-SBP'!$B$114:$R$184,14,FALSE)*$F68),"")</f>
        <v/>
      </c>
      <c r="P68" s="178" t="str">
        <f t="shared" si="5"/>
        <v/>
      </c>
      <c r="Q68" s="170" t="str">
        <f t="shared" si="6"/>
        <v/>
      </c>
      <c r="R68" s="171" t="str">
        <f t="shared" si="7"/>
        <v/>
      </c>
      <c r="S68" s="187" t="str">
        <f t="shared" si="8"/>
        <v/>
      </c>
      <c r="T68" s="111" t="str">
        <f>IF($D68&lt;&gt;"",VLOOKUP($D68,'Criteria-SBP'!$B$114:$P$184,11,FALSE),"")</f>
        <v/>
      </c>
      <c r="U68" s="297" t="str">
        <f>IF(D68&lt;&gt;"",VLOOKUP(D68,'Criteria-SBP'!$B$114:$R$184,16,FALSE),"")</f>
        <v/>
      </c>
      <c r="V68" s="298" t="str">
        <f>IF(U68="Yes",VLOOKUP(D68,'Criteria-SBP'!$B$114:$R$184,12,FALSE) / VLOOKUP(D68,'Criteria-SBP'!$B$118:$R$184,17,FALSE) * G68,"")</f>
        <v/>
      </c>
      <c r="W68" s="298" t="str">
        <f>IF(U68="Yes",VLOOKUP(D68,'Criteria-SBP'!$B$114:$R$184,13,FALSE) / VLOOKUP(D68,'Criteria-SBP'!$B$118:$R$184,17,FALSE) * G68,"")</f>
        <v/>
      </c>
      <c r="X68" s="298" t="str">
        <f>IF(U68="Yes",VLOOKUP(D68,'Criteria-SBP'!$B$114:$R$184,14,FALSE) / VLOOKUP(D68,'Criteria-SBP'!$B$118:$R$184,17,FALSE) * G68,"")</f>
        <v/>
      </c>
      <c r="Y68" s="248"/>
    </row>
    <row r="69" spans="2:25" ht="15" customHeight="1" x14ac:dyDescent="0.2">
      <c r="B69" s="197">
        <v>49</v>
      </c>
      <c r="C69" s="239"/>
      <c r="D69" s="101"/>
      <c r="E69" s="296" t="str">
        <f>IF(D69&lt;&gt;"",VLOOKUP(D69,'Criteria-SBP'!$B$114:$R$184,9,FALSE),"")</f>
        <v/>
      </c>
      <c r="F69" s="303"/>
      <c r="G69" s="304"/>
      <c r="H69" s="253"/>
      <c r="I69" s="153" t="str">
        <f t="shared" si="9"/>
        <v/>
      </c>
      <c r="J69" s="197" t="str">
        <f>IF(D69&lt;&gt;"",VLOOKUP(D69,'Criteria-SBP'!$B$114:$P$184,15,FALSE),"")</f>
        <v/>
      </c>
      <c r="K69" s="157" t="str">
        <f>IF(D69&lt;&gt;"",VLOOKUP(D69,'Criteria-SBP'!$B$114:$P$184,8,FALSE),"")</f>
        <v/>
      </c>
      <c r="L69" s="251" t="str">
        <f>IF(D69&lt;&gt;"","/ "&amp;VLOOKUP(D69,'Criteria-SBP'!$B$114:$P$184,9,FALSE),"")</f>
        <v/>
      </c>
      <c r="M69" s="255" t="str">
        <f>IF($D69&lt;&gt;"",IF(AND(U69="Yes",G69&lt;&gt;""),V69*F69,VLOOKUP($D69,'Criteria-SBP'!$B$114:$R$184,12,FALSE)*$F69),"")</f>
        <v/>
      </c>
      <c r="N69" s="250" t="str">
        <f>IF($D69&lt;&gt;"",IF(AND(U69="Yes",G69&lt;&gt;""),W69*F69,VLOOKUP($D69,'Criteria-SBP'!$B$114:$R$184,13,FALSE)*$F69),"")</f>
        <v/>
      </c>
      <c r="O69" s="250" t="str">
        <f>IF($D69&lt;&gt;"",IF(AND(U69="Yes",G69&lt;&gt;""),X69*F69,VLOOKUP($D69,'Criteria-SBP'!$B$114:$R$184,14,FALSE)*$F69),"")</f>
        <v/>
      </c>
      <c r="P69" s="178" t="str">
        <f t="shared" si="5"/>
        <v/>
      </c>
      <c r="Q69" s="170" t="str">
        <f t="shared" si="6"/>
        <v/>
      </c>
      <c r="R69" s="171" t="str">
        <f t="shared" si="7"/>
        <v/>
      </c>
      <c r="S69" s="187" t="str">
        <f t="shared" si="8"/>
        <v/>
      </c>
      <c r="T69" s="111" t="str">
        <f>IF($D69&lt;&gt;"",VLOOKUP($D69,'Criteria-SBP'!$B$114:$P$184,11,FALSE),"")</f>
        <v/>
      </c>
      <c r="U69" s="297" t="str">
        <f>IF(D69&lt;&gt;"",VLOOKUP(D69,'Criteria-SBP'!$B$114:$R$184,16,FALSE),"")</f>
        <v/>
      </c>
      <c r="V69" s="298" t="str">
        <f>IF(U69="Yes",VLOOKUP(D69,'Criteria-SBP'!$B$114:$R$184,12,FALSE) / VLOOKUP(D69,'Criteria-SBP'!$B$118:$R$184,17,FALSE) * G69,"")</f>
        <v/>
      </c>
      <c r="W69" s="298" t="str">
        <f>IF(U69="Yes",VLOOKUP(D69,'Criteria-SBP'!$B$114:$R$184,13,FALSE) / VLOOKUP(D69,'Criteria-SBP'!$B$118:$R$184,17,FALSE) * G69,"")</f>
        <v/>
      </c>
      <c r="X69" s="298" t="str">
        <f>IF(U69="Yes",VLOOKUP(D69,'Criteria-SBP'!$B$114:$R$184,14,FALSE) / VLOOKUP(D69,'Criteria-SBP'!$B$118:$R$184,17,FALSE) * G69,"")</f>
        <v/>
      </c>
      <c r="Y69" s="248"/>
    </row>
    <row r="70" spans="2:25" ht="15" customHeight="1" thickBot="1" x14ac:dyDescent="0.25">
      <c r="B70" s="277">
        <v>50</v>
      </c>
      <c r="C70" s="245"/>
      <c r="D70" s="245"/>
      <c r="E70" s="351" t="str">
        <f>IF(D70&lt;&gt;"",VLOOKUP(D70,'Criteria-SBP'!$B$114:$R$184,9,FALSE),"")</f>
        <v/>
      </c>
      <c r="F70" s="305"/>
      <c r="G70" s="306"/>
      <c r="H70" s="254"/>
      <c r="I70" s="154" t="str">
        <f t="shared" si="9"/>
        <v/>
      </c>
      <c r="J70" s="277" t="str">
        <f>IF(D70&lt;&gt;"",VLOOKUP(D70,'Criteria-SBP'!$B$114:$P$184,15,FALSE),"")</f>
        <v/>
      </c>
      <c r="K70" s="160" t="str">
        <f>IF(D70&lt;&gt;"",VLOOKUP(D70,'Criteria-SBP'!$B$114:$P$184,8,FALSE),"")</f>
        <v/>
      </c>
      <c r="L70" s="256" t="str">
        <f>IF(D70&lt;&gt;"","/ "&amp;VLOOKUP(D70,'Criteria-SBP'!$B$114:$P$184,9,FALSE),"")</f>
        <v/>
      </c>
      <c r="M70" s="257" t="str">
        <f>IF($D70&lt;&gt;"",IF(AND(U70="Yes",G70&lt;&gt;""),V70*F70,VLOOKUP($D70,'Criteria-SBP'!$B$114:$R$184,12,FALSE)*$F70),"")</f>
        <v/>
      </c>
      <c r="N70" s="258" t="str">
        <f>IF($D70&lt;&gt;"",IF(AND(U70="Yes",G70&lt;&gt;""),W70*F70,VLOOKUP($D70,'Criteria-SBP'!$B$114:$R$184,13,FALSE)*$F70),"")</f>
        <v/>
      </c>
      <c r="O70" s="258" t="str">
        <f>IF($D70&lt;&gt;"",IF(AND(U70="Yes",G70&lt;&gt;""),X70*F70,VLOOKUP($D70,'Criteria-SBP'!$B$114:$R$184,14,FALSE)*$F70),"")</f>
        <v/>
      </c>
      <c r="P70" s="185" t="str">
        <f t="shared" si="5"/>
        <v/>
      </c>
      <c r="Q70" s="186" t="str">
        <f t="shared" si="6"/>
        <v/>
      </c>
      <c r="R70" s="185" t="str">
        <f t="shared" si="7"/>
        <v/>
      </c>
      <c r="S70" s="188" t="str">
        <f t="shared" si="8"/>
        <v/>
      </c>
      <c r="T70" s="347" t="str">
        <f>IF($D70&lt;&gt;"",VLOOKUP($D70,'Criteria-SBP'!$B$114:$P$184,11,FALSE),"")</f>
        <v/>
      </c>
      <c r="U70" s="348" t="str">
        <f>IF(D70&lt;&gt;"",VLOOKUP(D70,'Criteria-SBP'!$B$114:$R$184,16,FALSE),"")</f>
        <v/>
      </c>
      <c r="V70" s="349" t="str">
        <f>IF(U70="Yes",VLOOKUP(D70,'Criteria-SBP'!$B$114:$R$184,12,FALSE) / VLOOKUP(D70,'Criteria-SBP'!$B$118:$R$184,17,FALSE) * G70,"")</f>
        <v/>
      </c>
      <c r="W70" s="349" t="str">
        <f>IF(U70="Yes",VLOOKUP(D70,'Criteria-SBP'!$B$114:$R$184,13,FALSE) / VLOOKUP(D70,'Criteria-SBP'!$B$118:$R$184,17,FALSE) * G70,"")</f>
        <v/>
      </c>
      <c r="X70" s="350" t="str">
        <f>IF(U70="Yes",VLOOKUP(D70,'Criteria-SBP'!$B$114:$R$184,14,FALSE) / VLOOKUP(D70,'Criteria-SBP'!$B$118:$R$184,17,FALSE) * G70,"")</f>
        <v/>
      </c>
      <c r="Y70" s="249"/>
    </row>
    <row r="71" spans="2:25" ht="15" customHeight="1" x14ac:dyDescent="0.2">
      <c r="H71" s="274" t="s">
        <v>106</v>
      </c>
      <c r="I71" s="299">
        <f>SUM(I21:I70)</f>
        <v>0</v>
      </c>
      <c r="J71" s="273"/>
      <c r="K71" s="273"/>
      <c r="L71" s="273"/>
      <c r="M71" s="300">
        <f>SUM(M21:M70)</f>
        <v>0</v>
      </c>
      <c r="N71" s="301">
        <f>SUM(N21:N70)</f>
        <v>0</v>
      </c>
      <c r="O71" s="301">
        <f>SUM(O21:O70)</f>
        <v>0</v>
      </c>
      <c r="P71" s="299">
        <f>SUM(P21:P70)</f>
        <v>0</v>
      </c>
      <c r="Q71" s="271" t="str">
        <f t="shared" ref="Q71" si="10">IF(AND(I71&lt;&gt;"",P71&gt;0),I71/P71,"")</f>
        <v/>
      </c>
      <c r="R71" s="299">
        <f>SUM(R21:R70)</f>
        <v>0</v>
      </c>
      <c r="S71" s="271" t="str">
        <f t="shared" ref="S71" si="11">IF(AND(I71&lt;&gt;"",P71&gt;0),(I71-R71)/P71,"")</f>
        <v/>
      </c>
      <c r="T71" s="247"/>
    </row>
    <row r="72" spans="2:25" ht="15" customHeight="1" x14ac:dyDescent="0.2"/>
    <row r="73" spans="2:25" ht="15" customHeight="1" x14ac:dyDescent="0.2"/>
    <row r="74" spans="2:25" ht="15" customHeight="1" x14ac:dyDescent="0.2"/>
    <row r="75" spans="2:25" ht="15" customHeight="1" x14ac:dyDescent="0.2"/>
    <row r="76" spans="2:25" ht="15" customHeight="1" x14ac:dyDescent="0.2"/>
    <row r="77" spans="2:25" ht="15" customHeight="1" x14ac:dyDescent="0.2"/>
    <row r="78" spans="2:25" ht="15" customHeight="1" x14ac:dyDescent="0.2"/>
    <row r="79" spans="2:25" ht="15" customHeight="1" x14ac:dyDescent="0.2"/>
    <row r="80" spans="2:25" ht="15" customHeight="1" x14ac:dyDescent="0.2"/>
    <row r="81" ht="15" customHeight="1" x14ac:dyDescent="0.2"/>
    <row r="82" ht="15" customHeight="1" x14ac:dyDescent="0.2"/>
    <row r="83" ht="15" customHeight="1" x14ac:dyDescent="0.2"/>
    <row r="84" ht="15" customHeight="1" x14ac:dyDescent="0.2"/>
    <row r="85" ht="15" customHeight="1" x14ac:dyDescent="0.2"/>
  </sheetData>
  <sheetProtection algorithmName="SHA-512" hashValue="aGTNtYT9/vE9XkWTebqr+bxTGeH0pxGwSZ1Hkl2YxXnfoblIwJDr14ez2BVfUvWArjw7ESlspUtMGy/1sBvXoA==" saltValue="FUI8YYVlMsp2mn35c9/gvA==" spinCount="100000" sheet="1" formatCells="0" formatRows="0"/>
  <mergeCells count="16">
    <mergeCell ref="D1:G2"/>
    <mergeCell ref="D3:G3"/>
    <mergeCell ref="Q3:S3"/>
    <mergeCell ref="J5:L5"/>
    <mergeCell ref="K20:L20"/>
    <mergeCell ref="J19:L19"/>
    <mergeCell ref="B19:I19"/>
    <mergeCell ref="M19:S19"/>
    <mergeCell ref="L6:P6"/>
    <mergeCell ref="L7:P7"/>
    <mergeCell ref="L8:P8"/>
    <mergeCell ref="L10:P10"/>
    <mergeCell ref="L11:P11"/>
    <mergeCell ref="C6:I6"/>
    <mergeCell ref="C7:I7"/>
    <mergeCell ref="C8:I8"/>
  </mergeCells>
  <dataValidations xWindow="587" yWindow="379" count="13">
    <dataValidation allowBlank="1" showInputMessage="1" showErrorMessage="1" prompt="Describe where the refrigeration technology on the line is located within the building, or which case/walk-in it is part of. This is just an identifier to assist with matching up with other project documents. " sqref="C20:C70" xr:uid="{00000000-0002-0000-0200-000000000000}"/>
    <dataValidation type="decimal" allowBlank="1" showInputMessage="1" showErrorMessage="1" errorTitle="Incorrect Hp" error="These are fractional hp ECM motors. Enter a hp input between 0 and 1 hp." prompt="If left blank, ECM motor savings will show for default size (average across wide range of installations) as determined by Focus on Energy. If specific motor hp is known, enter as a fraction or decimal and savings will be scaled to actual size listed." sqref="G21:G70" xr:uid="{00000000-0002-0000-0200-000001000000}">
      <formula1>0</formula1>
      <formula2>1</formula2>
    </dataValidation>
    <dataValidation allowBlank="1" showInputMessage="1" showErrorMessage="1" prompt="Select a specific refrigeration technology that will be installed at the customer's site. " sqref="D20" xr:uid="{00000000-0002-0000-0200-000002000000}"/>
    <dataValidation allowBlank="1" showInputMessage="1" showErrorMessage="1" prompt="The project cost, incentive, and savings for the refrigeration technology are per these units of measurement." sqref="E20:E70" xr:uid="{00000000-0002-0000-0200-000003000000}"/>
    <dataValidation allowBlank="1" showInputMessage="1" showErrorMessage="1" prompt="If left blank, ECM motor savings will show for default size (average across wide range of installations) as determined by Focus on Energy. If specific motor hp is known, enter as a fraction or decimal and savings will be scaled to actual size listed." sqref="G20" xr:uid="{00000000-0002-0000-0200-000004000000}"/>
    <dataValidation allowBlank="1" showInputMessage="1" showErrorMessage="1" prompt="Enter the unit cost of the refrigeration technology. This should be in the same units as the Unit of Measure column, which generally is per motor, per door, or per linear foot." sqref="H20:H70" xr:uid="{00000000-0002-0000-0200-000005000000}"/>
    <dataValidation allowBlank="1" showInputMessage="1" showErrorMessage="1" prompt="Total cost is automatically calculated as QUantity x Cost Each." sqref="I20:I70" xr:uid="{00000000-0002-0000-0200-000006000000}"/>
    <dataValidation allowBlank="1" showInputMessage="1" showErrorMessage="1" prompt="This is the incentive code to use on the application when applying for commercial refrigeration incentives from Focus on Energy. It is automatically determined based on the Refrigeration Technology column." sqref="J20:J70" xr:uid="{00000000-0002-0000-0200-000007000000}"/>
    <dataValidation allowBlank="1" showInputMessage="1" showErrorMessage="1" prompt="This is the incentive rate available when applying for commercial refrigeration incentives from Focus on Energy. It is automatically determined based on the Refrigeration Technology column." sqref="K20:L70" xr:uid="{00000000-0002-0000-0200-000008000000}"/>
    <dataValidation allowBlank="1" showInputMessage="1" showErrorMessage="1" prompt="Calculated: = Annual kWh Savings x Electric Utility Rate ($/kWh) + Annual Therm Savings x Natural Gas Utility Rate ($/Therm)" sqref="P20:P70" xr:uid="{00000000-0002-0000-0200-000009000000}"/>
    <dataValidation allowBlank="1" showInputMessage="1" showErrorMessage="1" prompt="Calculated: = Total Cost / Annual Energy Cost Savings" sqref="Q20:Q70" xr:uid="{00000000-0002-0000-0200-00000A000000}"/>
    <dataValidation allowBlank="1" showInputMessage="1" showErrorMessage="1" prompt="Calculated: = Quantity x Incentive Rate" sqref="R20:R70" xr:uid="{00000000-0002-0000-0200-00000B000000}"/>
    <dataValidation allowBlank="1" showInputMessage="1" showErrorMessage="1" prompt="Calculated: = (Total Cost - Estimated Incentive) / Annual Energy Cost Savings" sqref="S20:S70" xr:uid="{00000000-0002-0000-0200-00000C000000}"/>
  </dataValidations>
  <hyperlinks>
    <hyperlink ref="Q3" r:id="rId1" display="2017 Refrigeration Incentive Catalog" xr:uid="{00000000-0004-0000-0200-000000000000}"/>
  </hyperlinks>
  <pageMargins left="0.25" right="0.25" top="0.75" bottom="0.75" header="0.3" footer="0.3"/>
  <pageSetup scale="43" orientation="landscape" r:id="rId2"/>
  <drawing r:id="rId3"/>
  <extLst>
    <ext xmlns:x14="http://schemas.microsoft.com/office/spreadsheetml/2009/9/main" uri="{CCE6A557-97BC-4b89-ADB6-D9C93CAAB3DF}">
      <x14:dataValidations xmlns:xm="http://schemas.microsoft.com/office/excel/2006/main" xWindow="587" yWindow="379" count="1">
        <x14:dataValidation type="list" allowBlank="1" showInputMessage="1" showErrorMessage="1" prompt="Select a specific refrigeration technology that will be installed at the customer's site. " xr:uid="{00000000-0002-0000-0200-00000D000000}">
          <x14:formula1>
            <xm:f>'Criteria-SBP'!$B$114:$B$184</xm:f>
          </x14:formula1>
          <xm:sqref>D21:D70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sheetPr>
  <dimension ref="A1:S192"/>
  <sheetViews>
    <sheetView zoomScale="80" zoomScaleNormal="80" workbookViewId="0">
      <pane xSplit="2" ySplit="2" topLeftCell="C52" activePane="bottomRight" state="frozen"/>
      <selection pane="topRight" activeCell="A29" sqref="A29"/>
      <selection pane="bottomLeft" activeCell="A29" sqref="A29"/>
      <selection pane="bottomRight" activeCell="A85" sqref="A85"/>
    </sheetView>
  </sheetViews>
  <sheetFormatPr defaultRowHeight="15" x14ac:dyDescent="0.25"/>
  <cols>
    <col min="1" max="1" width="20.7109375" customWidth="1"/>
    <col min="2" max="2" width="75.5703125" style="85" customWidth="1"/>
    <col min="3" max="3" width="77.28515625" hidden="1" customWidth="1"/>
    <col min="4" max="4" width="57.140625" hidden="1" customWidth="1"/>
    <col min="5" max="5" width="68.28515625" hidden="1" customWidth="1"/>
    <col min="6" max="6" width="56.42578125" hidden="1" customWidth="1"/>
    <col min="7" max="7" width="71.42578125" hidden="1" customWidth="1"/>
    <col min="8" max="8" width="56.7109375" hidden="1" customWidth="1"/>
    <col min="9" max="9" width="15.5703125" style="70" customWidth="1"/>
    <col min="10" max="10" width="20.5703125" style="71" customWidth="1"/>
    <col min="11" max="11" width="10.7109375" style="71" customWidth="1"/>
    <col min="12" max="12" width="14.140625" style="71" customWidth="1"/>
    <col min="13" max="15" width="11.7109375" customWidth="1"/>
    <col min="16" max="16" width="12.85546875" customWidth="1"/>
    <col min="17" max="17" width="17.42578125" customWidth="1"/>
    <col min="18" max="18" width="8.85546875" hidden="1" customWidth="1"/>
    <col min="19" max="19" width="87.7109375" hidden="1" customWidth="1"/>
    <col min="20" max="20" width="9.7109375" bestFit="1" customWidth="1"/>
  </cols>
  <sheetData>
    <row r="1" spans="1:19" x14ac:dyDescent="0.25">
      <c r="A1" s="90" t="s">
        <v>718</v>
      </c>
      <c r="B1" s="89"/>
      <c r="C1" s="89"/>
      <c r="D1" s="89"/>
      <c r="E1" s="89"/>
      <c r="I1"/>
      <c r="L1" s="72"/>
    </row>
    <row r="2" spans="1:19" ht="45" x14ac:dyDescent="0.25">
      <c r="A2" s="74" t="s">
        <v>719</v>
      </c>
      <c r="B2" s="75" t="s">
        <v>720</v>
      </c>
      <c r="C2" s="76" t="s">
        <v>721</v>
      </c>
      <c r="D2" s="76" t="s">
        <v>722</v>
      </c>
      <c r="E2" s="76" t="s">
        <v>723</v>
      </c>
      <c r="F2" s="77" t="s">
        <v>724</v>
      </c>
      <c r="G2" s="77" t="s">
        <v>725</v>
      </c>
      <c r="H2" s="77" t="s">
        <v>726</v>
      </c>
      <c r="I2" s="78" t="s">
        <v>113</v>
      </c>
      <c r="J2" s="79" t="s">
        <v>727</v>
      </c>
      <c r="K2" s="80" t="s">
        <v>728</v>
      </c>
      <c r="L2" s="78" t="s">
        <v>729</v>
      </c>
      <c r="M2" s="237" t="s">
        <v>730</v>
      </c>
      <c r="N2" s="237" t="s">
        <v>731</v>
      </c>
      <c r="O2" s="237" t="s">
        <v>732</v>
      </c>
      <c r="Q2" s="237"/>
      <c r="S2" s="113" t="s">
        <v>733</v>
      </c>
    </row>
    <row r="3" spans="1:19" x14ac:dyDescent="0.25">
      <c r="B3" s="81" t="s">
        <v>734</v>
      </c>
      <c r="C3" s="82" t="str">
        <f t="shared" ref="C3:C28" si="0">IF(ISBLANK(A3),"",A3&amp;":  ") &amp;B3</f>
        <v>----------------------LIGHTING CATALOG: INTERIOR FIXTURES AND LAMPS----------------------------</v>
      </c>
      <c r="D3" s="77"/>
      <c r="E3" s="77"/>
      <c r="F3" s="77"/>
      <c r="G3" s="77"/>
      <c r="H3" s="77"/>
      <c r="I3" s="83" t="s">
        <v>735</v>
      </c>
      <c r="J3" s="70" t="s">
        <v>735</v>
      </c>
      <c r="K3" s="70" t="s">
        <v>735</v>
      </c>
      <c r="L3" s="84">
        <v>1</v>
      </c>
      <c r="S3" t="s">
        <v>736</v>
      </c>
    </row>
    <row r="4" spans="1:19" x14ac:dyDescent="0.25">
      <c r="A4" t="s">
        <v>737</v>
      </c>
      <c r="B4" s="85" t="s">
        <v>738</v>
      </c>
      <c r="C4" s="82" t="str">
        <f t="shared" si="0"/>
        <v>S-L3111:  DLC-Listed LED 2' x 4' High Performance Troffer</v>
      </c>
      <c r="D4" t="s">
        <v>739</v>
      </c>
      <c r="E4" t="s">
        <v>740</v>
      </c>
      <c r="F4" t="s">
        <v>741</v>
      </c>
      <c r="G4" t="s">
        <v>742</v>
      </c>
      <c r="H4" t="s">
        <v>743</v>
      </c>
      <c r="I4" s="83">
        <v>30</v>
      </c>
      <c r="J4" s="71" t="s">
        <v>744</v>
      </c>
      <c r="K4" s="71">
        <v>3111</v>
      </c>
      <c r="L4" s="84">
        <v>1</v>
      </c>
      <c r="Q4" s="83"/>
      <c r="S4" t="s">
        <v>745</v>
      </c>
    </row>
    <row r="5" spans="1:19" x14ac:dyDescent="0.25">
      <c r="A5" t="s">
        <v>746</v>
      </c>
      <c r="B5" s="85" t="s">
        <v>747</v>
      </c>
      <c r="C5" s="82" t="str">
        <f t="shared" si="0"/>
        <v>S-L3760:  DLC Listed LED, &lt;44W, 1X4 product replacing or instead of 1- or 2-lamp T8 or T12</v>
      </c>
      <c r="D5" t="s">
        <v>748</v>
      </c>
      <c r="E5" t="s">
        <v>749</v>
      </c>
      <c r="F5" t="s">
        <v>750</v>
      </c>
      <c r="G5" t="s">
        <v>751</v>
      </c>
      <c r="H5" t="s">
        <v>743</v>
      </c>
      <c r="I5" s="83">
        <v>15</v>
      </c>
      <c r="J5" s="71" t="s">
        <v>744</v>
      </c>
      <c r="K5" s="71">
        <v>3760</v>
      </c>
      <c r="L5" s="84">
        <v>1</v>
      </c>
      <c r="Q5" s="83"/>
    </row>
    <row r="6" spans="1:19" x14ac:dyDescent="0.25">
      <c r="A6" t="s">
        <v>752</v>
      </c>
      <c r="B6" s="85" t="s">
        <v>753</v>
      </c>
      <c r="C6" s="82" t="str">
        <f t="shared" si="0"/>
        <v>S-L3400:  DLC Listed 2X2 LED, ≤36W, replacing or instead of Fixture with 2 or more T8 or T12 Lamps</v>
      </c>
      <c r="D6" t="s">
        <v>754</v>
      </c>
      <c r="E6" t="s">
        <v>755</v>
      </c>
      <c r="F6" t="s">
        <v>756</v>
      </c>
      <c r="G6" t="s">
        <v>757</v>
      </c>
      <c r="H6" t="s">
        <v>743</v>
      </c>
      <c r="I6" s="83">
        <v>15</v>
      </c>
      <c r="J6" s="71" t="s">
        <v>744</v>
      </c>
      <c r="K6" s="71">
        <v>3400</v>
      </c>
      <c r="L6" s="84">
        <v>1</v>
      </c>
      <c r="Q6" s="83"/>
    </row>
    <row r="7" spans="1:19" x14ac:dyDescent="0.25">
      <c r="A7" t="s">
        <v>758</v>
      </c>
      <c r="B7" s="85" t="s">
        <v>759</v>
      </c>
      <c r="C7" s="82" t="str">
        <f t="shared" si="0"/>
        <v>S-L3401:  DLC Listed 2X2 LED, ≤85W, replacing or instead of Fixture with 2 or more 2G11 base Lamps</v>
      </c>
      <c r="D7" t="s">
        <v>760</v>
      </c>
      <c r="E7" t="s">
        <v>755</v>
      </c>
      <c r="F7" t="s">
        <v>756</v>
      </c>
      <c r="G7" t="s">
        <v>761</v>
      </c>
      <c r="H7" t="s">
        <v>743</v>
      </c>
      <c r="I7" s="83">
        <v>45</v>
      </c>
      <c r="J7" s="71" t="s">
        <v>744</v>
      </c>
      <c r="K7" s="71">
        <v>3401</v>
      </c>
      <c r="L7" s="84">
        <v>1</v>
      </c>
      <c r="Q7" s="83"/>
    </row>
    <row r="8" spans="1:19" x14ac:dyDescent="0.25">
      <c r="A8" t="s">
        <v>762</v>
      </c>
      <c r="B8" s="85" t="s">
        <v>763</v>
      </c>
      <c r="C8" s="82" t="str">
        <f t="shared" si="0"/>
        <v>S-L4314:  4' 2-lamp TLED &lt;24W replacing 8' 1-lamp T8 or T12</v>
      </c>
      <c r="I8" s="83">
        <v>10</v>
      </c>
      <c r="J8" s="71" t="s">
        <v>744</v>
      </c>
      <c r="K8" s="71" t="s">
        <v>764</v>
      </c>
      <c r="L8" s="84">
        <v>1</v>
      </c>
      <c r="Q8" s="83"/>
    </row>
    <row r="9" spans="1:19" x14ac:dyDescent="0.25">
      <c r="A9" t="s">
        <v>765</v>
      </c>
      <c r="B9" s="85" t="s">
        <v>766</v>
      </c>
      <c r="C9" s="82" t="str">
        <f t="shared" si="0"/>
        <v>S-L4317:  4' 2-lamp TLED &lt;24W replacing 8' 1-lamp T8HO or T12HO</v>
      </c>
      <c r="I9" s="83">
        <v>10</v>
      </c>
      <c r="J9" s="71" t="s">
        <v>744</v>
      </c>
      <c r="K9" s="71" t="s">
        <v>767</v>
      </c>
      <c r="L9" s="84">
        <v>1</v>
      </c>
      <c r="Q9" s="83"/>
    </row>
    <row r="10" spans="1:19" x14ac:dyDescent="0.25">
      <c r="A10" t="s">
        <v>768</v>
      </c>
      <c r="B10" s="85" t="s">
        <v>769</v>
      </c>
      <c r="C10" s="82" t="str">
        <f t="shared" si="0"/>
        <v>S-L4320:  4' 4-lamp TLED &lt;24W replacing 8' 2-lamp T8 or T12</v>
      </c>
      <c r="I10" s="83">
        <v>20</v>
      </c>
      <c r="J10" s="71" t="s">
        <v>744</v>
      </c>
      <c r="K10" s="71" t="s">
        <v>770</v>
      </c>
      <c r="L10" s="84">
        <v>1</v>
      </c>
      <c r="Q10" s="83"/>
    </row>
    <row r="11" spans="1:19" x14ac:dyDescent="0.25">
      <c r="A11" t="s">
        <v>771</v>
      </c>
      <c r="B11" s="85" t="s">
        <v>772</v>
      </c>
      <c r="C11" s="82" t="str">
        <f t="shared" si="0"/>
        <v>S-L4323:  4' 4-lamp TLED &lt;24W replacing 8' 2-lamp T8HO or T12HO</v>
      </c>
      <c r="I11" s="83">
        <v>20</v>
      </c>
      <c r="J11" s="71" t="s">
        <v>744</v>
      </c>
      <c r="K11" s="71" t="s">
        <v>773</v>
      </c>
      <c r="L11" s="84">
        <v>1</v>
      </c>
      <c r="Q11" s="83"/>
    </row>
    <row r="12" spans="1:19" x14ac:dyDescent="0.25">
      <c r="A12" t="s">
        <v>774</v>
      </c>
      <c r="B12" s="85" t="s">
        <v>775</v>
      </c>
      <c r="C12" s="82" t="str">
        <f t="shared" si="0"/>
        <v>S-L4326:  4' 2-lamp TLED &lt;24W replacing 8' 2-lamp T8 or T12</v>
      </c>
      <c r="I12" s="83">
        <v>25</v>
      </c>
      <c r="J12" s="71" t="s">
        <v>744</v>
      </c>
      <c r="K12" s="71" t="s">
        <v>776</v>
      </c>
      <c r="L12" s="84">
        <v>1</v>
      </c>
      <c r="Q12" s="83"/>
    </row>
    <row r="13" spans="1:19" x14ac:dyDescent="0.25">
      <c r="A13" t="s">
        <v>777</v>
      </c>
      <c r="B13" s="85" t="s">
        <v>778</v>
      </c>
      <c r="C13" s="82" t="str">
        <f t="shared" si="0"/>
        <v>S-L4329:  4' 2-lamp TLED &lt;24W replacing 8' 2-lamp T8HO or T12HO</v>
      </c>
      <c r="I13" s="83">
        <v>25</v>
      </c>
      <c r="J13" s="71" t="s">
        <v>744</v>
      </c>
      <c r="K13" s="71" t="s">
        <v>779</v>
      </c>
      <c r="L13" s="84">
        <v>1</v>
      </c>
      <c r="Q13" s="83"/>
    </row>
    <row r="14" spans="1:19" x14ac:dyDescent="0.25">
      <c r="A14" t="s">
        <v>780</v>
      </c>
      <c r="B14" s="85" t="s">
        <v>781</v>
      </c>
      <c r="C14" s="82" t="str">
        <f t="shared" si="0"/>
        <v>S-L2276:  Permanently remove 4' T12 lamp</v>
      </c>
      <c r="D14" t="s">
        <v>782</v>
      </c>
      <c r="E14" t="s">
        <v>783</v>
      </c>
      <c r="F14" t="s">
        <v>784</v>
      </c>
      <c r="G14" t="s">
        <v>785</v>
      </c>
      <c r="H14" t="s">
        <v>786</v>
      </c>
      <c r="I14" s="83">
        <v>3</v>
      </c>
      <c r="J14" s="71" t="s">
        <v>787</v>
      </c>
      <c r="K14" s="71">
        <v>2276</v>
      </c>
      <c r="L14" s="84">
        <v>1</v>
      </c>
      <c r="Q14" s="83"/>
    </row>
    <row r="15" spans="1:19" x14ac:dyDescent="0.25">
      <c r="A15" t="s">
        <v>788</v>
      </c>
      <c r="B15" s="85" t="s">
        <v>789</v>
      </c>
      <c r="C15" s="82" t="str">
        <f t="shared" si="0"/>
        <v>S-L2277:  Permanently remove 4' T8 lamp</v>
      </c>
      <c r="D15" t="s">
        <v>782</v>
      </c>
      <c r="E15" t="s">
        <v>783</v>
      </c>
      <c r="F15" t="s">
        <v>784</v>
      </c>
      <c r="G15" t="s">
        <v>785</v>
      </c>
      <c r="H15" t="s">
        <v>786</v>
      </c>
      <c r="I15" s="83">
        <v>3</v>
      </c>
      <c r="J15" s="71" t="s">
        <v>787</v>
      </c>
      <c r="K15" s="71">
        <v>2277</v>
      </c>
      <c r="L15" s="84">
        <v>1</v>
      </c>
      <c r="Q15" s="83"/>
    </row>
    <row r="16" spans="1:19" x14ac:dyDescent="0.25">
      <c r="A16" t="s">
        <v>790</v>
      </c>
      <c r="B16" s="85" t="s">
        <v>791</v>
      </c>
      <c r="C16" s="82" t="str">
        <f t="shared" si="0"/>
        <v>S-L3320:  Permanently remove 8' T12 lamp</v>
      </c>
      <c r="D16" t="s">
        <v>792</v>
      </c>
      <c r="E16" t="s">
        <v>783</v>
      </c>
      <c r="F16" t="s">
        <v>784</v>
      </c>
      <c r="G16" t="s">
        <v>785</v>
      </c>
      <c r="H16" t="s">
        <v>786</v>
      </c>
      <c r="I16" s="83">
        <v>6</v>
      </c>
      <c r="J16" s="71" t="s">
        <v>787</v>
      </c>
      <c r="K16" s="71">
        <v>3320</v>
      </c>
      <c r="L16" s="84">
        <v>1</v>
      </c>
      <c r="Q16" s="83"/>
    </row>
    <row r="17" spans="1:17" x14ac:dyDescent="0.25">
      <c r="A17" t="s">
        <v>793</v>
      </c>
      <c r="B17" s="85" t="s">
        <v>794</v>
      </c>
      <c r="C17" s="82" t="str">
        <f t="shared" si="0"/>
        <v>S-L3091:  ≤ 155W LED High Bay/Low Bay, replacing or instead of 250W HID</v>
      </c>
      <c r="D17" t="s">
        <v>795</v>
      </c>
      <c r="E17" t="s">
        <v>796</v>
      </c>
      <c r="F17" t="s">
        <v>797</v>
      </c>
      <c r="G17" t="s">
        <v>798</v>
      </c>
      <c r="H17" t="s">
        <v>799</v>
      </c>
      <c r="I17" s="83">
        <v>75</v>
      </c>
      <c r="J17" s="71" t="s">
        <v>744</v>
      </c>
      <c r="K17" s="71">
        <v>3091</v>
      </c>
      <c r="L17" s="84">
        <v>1</v>
      </c>
      <c r="Q17" s="83"/>
    </row>
    <row r="18" spans="1:17" x14ac:dyDescent="0.25">
      <c r="A18" t="s">
        <v>800</v>
      </c>
      <c r="B18" s="85" t="s">
        <v>801</v>
      </c>
      <c r="C18" s="82" t="str">
        <f t="shared" si="0"/>
        <v>S-L3092:  ≤ 250W LED High Bay/Low Bay, instead of 320-399W HID</v>
      </c>
      <c r="D18" t="s">
        <v>795</v>
      </c>
      <c r="E18" t="s">
        <v>796</v>
      </c>
      <c r="F18" t="s">
        <v>797</v>
      </c>
      <c r="G18" t="s">
        <v>798</v>
      </c>
      <c r="H18" t="s">
        <v>802</v>
      </c>
      <c r="I18" s="83">
        <v>80</v>
      </c>
      <c r="J18" s="71" t="s">
        <v>744</v>
      </c>
      <c r="K18" s="71">
        <v>3092</v>
      </c>
      <c r="L18" s="84">
        <v>1</v>
      </c>
      <c r="Q18" s="83"/>
    </row>
    <row r="19" spans="1:17" x14ac:dyDescent="0.25">
      <c r="A19" t="s">
        <v>803</v>
      </c>
      <c r="B19" s="85" t="s">
        <v>804</v>
      </c>
      <c r="C19" s="82" t="str">
        <f t="shared" si="0"/>
        <v>S-L3093:  ≤ 250W LED High Bay/Low Bay, replacing 400W HID</v>
      </c>
      <c r="D19" t="s">
        <v>795</v>
      </c>
      <c r="E19" t="s">
        <v>796</v>
      </c>
      <c r="F19" t="s">
        <v>797</v>
      </c>
      <c r="G19" t="s">
        <v>798</v>
      </c>
      <c r="H19" t="s">
        <v>802</v>
      </c>
      <c r="I19" s="83">
        <v>80</v>
      </c>
      <c r="J19" s="71" t="s">
        <v>744</v>
      </c>
      <c r="K19" s="71">
        <v>3093</v>
      </c>
      <c r="L19" s="84">
        <v>1</v>
      </c>
      <c r="Q19" s="83"/>
    </row>
    <row r="20" spans="1:17" x14ac:dyDescent="0.25">
      <c r="A20" t="s">
        <v>805</v>
      </c>
      <c r="B20" s="85" t="s">
        <v>806</v>
      </c>
      <c r="C20" s="82" t="str">
        <f t="shared" si="0"/>
        <v>S-L3094:  ≤ 365W LED High Bay/Low Bay, replacing 400W HID</v>
      </c>
      <c r="D20" t="s">
        <v>795</v>
      </c>
      <c r="E20" t="s">
        <v>796</v>
      </c>
      <c r="F20" t="s">
        <v>797</v>
      </c>
      <c r="G20" t="s">
        <v>798</v>
      </c>
      <c r="H20" t="s">
        <v>807</v>
      </c>
      <c r="I20" s="83">
        <v>75</v>
      </c>
      <c r="J20" s="71" t="s">
        <v>744</v>
      </c>
      <c r="K20" s="71">
        <v>3094</v>
      </c>
      <c r="L20" s="84">
        <v>1</v>
      </c>
      <c r="Q20" s="83"/>
    </row>
    <row r="21" spans="1:17" x14ac:dyDescent="0.25">
      <c r="A21" t="s">
        <v>808</v>
      </c>
      <c r="B21" s="85" t="s">
        <v>809</v>
      </c>
      <c r="C21" s="82" t="str">
        <f t="shared" si="0"/>
        <v>S-L3095:  ≤ 500W LED High Bay/Low Bay, replacing or instead of 1000W HID</v>
      </c>
      <c r="D21" t="s">
        <v>795</v>
      </c>
      <c r="E21" t="s">
        <v>796</v>
      </c>
      <c r="F21" t="s">
        <v>797</v>
      </c>
      <c r="G21" t="s">
        <v>810</v>
      </c>
      <c r="H21" t="s">
        <v>811</v>
      </c>
      <c r="I21" s="83">
        <v>200</v>
      </c>
      <c r="J21" s="71" t="s">
        <v>744</v>
      </c>
      <c r="K21" s="71">
        <v>3095</v>
      </c>
      <c r="L21" s="84">
        <v>1</v>
      </c>
      <c r="Q21" s="83"/>
    </row>
    <row r="22" spans="1:17" x14ac:dyDescent="0.25">
      <c r="A22" t="s">
        <v>812</v>
      </c>
      <c r="B22" s="85" t="s">
        <v>813</v>
      </c>
      <c r="C22" s="82" t="str">
        <f t="shared" si="0"/>
        <v>S-L3096:  ≤ 800W LED High Bay/Low Bay, replacing or instead of 1000W HID</v>
      </c>
      <c r="D22" t="s">
        <v>795</v>
      </c>
      <c r="E22" t="s">
        <v>796</v>
      </c>
      <c r="F22" t="s">
        <v>797</v>
      </c>
      <c r="G22" t="s">
        <v>814</v>
      </c>
      <c r="H22" t="s">
        <v>815</v>
      </c>
      <c r="I22" s="83">
        <v>150</v>
      </c>
      <c r="J22" s="71" t="s">
        <v>744</v>
      </c>
      <c r="K22" s="71">
        <v>3096</v>
      </c>
      <c r="L22" s="84">
        <v>1</v>
      </c>
      <c r="Q22" s="83"/>
    </row>
    <row r="23" spans="1:17" x14ac:dyDescent="0.25">
      <c r="A23" t="s">
        <v>816</v>
      </c>
      <c r="B23" s="85" t="s">
        <v>817</v>
      </c>
      <c r="C23" s="82" t="str">
        <f t="shared" si="0"/>
        <v>S-L3393:  ≤180W LED High Bay/Low Bay, replacing or instead of 6L T8 or 4L T5HO</v>
      </c>
      <c r="I23" s="83">
        <v>50</v>
      </c>
      <c r="J23" s="71" t="s">
        <v>744</v>
      </c>
      <c r="K23" s="71" t="s">
        <v>818</v>
      </c>
      <c r="L23" s="84">
        <v>1</v>
      </c>
      <c r="Q23" s="83"/>
    </row>
    <row r="24" spans="1:17" x14ac:dyDescent="0.25">
      <c r="A24" t="s">
        <v>819</v>
      </c>
      <c r="B24" s="85" t="s">
        <v>820</v>
      </c>
      <c r="C24" s="82" t="str">
        <f t="shared" si="0"/>
        <v>S-L4347:  ≤250W LED High Bay/Low Bay, replacing or instead of 8L T8 or 6L T5HO</v>
      </c>
      <c r="I24" s="83">
        <v>60</v>
      </c>
      <c r="J24" s="71" t="s">
        <v>744</v>
      </c>
      <c r="K24" s="71" t="s">
        <v>821</v>
      </c>
      <c r="L24" s="84">
        <v>1</v>
      </c>
      <c r="Q24" s="83"/>
    </row>
    <row r="25" spans="1:17" x14ac:dyDescent="0.25">
      <c r="A25" t="s">
        <v>822</v>
      </c>
      <c r="B25" s="85" t="s">
        <v>823</v>
      </c>
      <c r="C25" s="82" t="str">
        <f t="shared" si="0"/>
        <v>S-L4354:  LED Downlight Fixtures replacing or instead of Incandescent, CFL or HID fixture (See system wattage table on pg. 61 of Lighting Catalog for baseline inputs)</v>
      </c>
      <c r="I25" s="83">
        <v>0.3</v>
      </c>
      <c r="J25" s="71" t="s">
        <v>824</v>
      </c>
      <c r="K25" s="71" t="s">
        <v>825</v>
      </c>
      <c r="L25" s="84">
        <v>1</v>
      </c>
      <c r="Q25" s="83"/>
    </row>
    <row r="26" spans="1:17" x14ac:dyDescent="0.25">
      <c r="A26" t="s">
        <v>826</v>
      </c>
      <c r="B26" s="85" t="s">
        <v>827</v>
      </c>
      <c r="C26" s="82" t="str">
        <f t="shared" si="0"/>
        <v>S-L3903:  Interior LED Signage</v>
      </c>
      <c r="D26" t="s">
        <v>828</v>
      </c>
      <c r="E26" t="s">
        <v>829</v>
      </c>
      <c r="F26" t="s">
        <v>830</v>
      </c>
      <c r="G26" t="s">
        <v>831</v>
      </c>
      <c r="H26" t="s">
        <v>832</v>
      </c>
      <c r="I26" s="83">
        <v>0.4</v>
      </c>
      <c r="J26" s="71" t="s">
        <v>824</v>
      </c>
      <c r="K26" s="71">
        <v>3903</v>
      </c>
      <c r="L26" s="84">
        <v>1</v>
      </c>
      <c r="Q26" s="83"/>
    </row>
    <row r="27" spans="1:17" x14ac:dyDescent="0.25">
      <c r="A27" t="s">
        <v>833</v>
      </c>
      <c r="B27" s="85" t="s">
        <v>834</v>
      </c>
      <c r="C27" s="82" t="str">
        <f t="shared" si="0"/>
        <v>S-L3097:  LED Stairwell or Passageway Fixture</v>
      </c>
      <c r="D27" t="s">
        <v>835</v>
      </c>
      <c r="E27" t="s">
        <v>836</v>
      </c>
      <c r="F27" t="s">
        <v>837</v>
      </c>
      <c r="G27" t="s">
        <v>838</v>
      </c>
      <c r="H27" t="s">
        <v>839</v>
      </c>
      <c r="I27" s="83">
        <v>35</v>
      </c>
      <c r="J27" s="71" t="s">
        <v>744</v>
      </c>
      <c r="K27" s="71">
        <v>3097</v>
      </c>
      <c r="L27" s="84">
        <v>1</v>
      </c>
      <c r="Q27" s="83"/>
    </row>
    <row r="28" spans="1:17" x14ac:dyDescent="0.25">
      <c r="A28" t="s">
        <v>840</v>
      </c>
      <c r="B28" s="85" t="s">
        <v>841</v>
      </c>
      <c r="C28" s="82" t="str">
        <f t="shared" si="0"/>
        <v>S-L4357:  LED fixtures/retrofit Kits upgrading existing equipment, fixture qty. modification, Interior</v>
      </c>
      <c r="D28" t="s">
        <v>842</v>
      </c>
      <c r="E28" t="s">
        <v>843</v>
      </c>
      <c r="F28" t="s">
        <v>844</v>
      </c>
      <c r="G28" t="s">
        <v>845</v>
      </c>
      <c r="I28" s="83">
        <v>0.4</v>
      </c>
      <c r="J28" s="71" t="s">
        <v>824</v>
      </c>
      <c r="K28" s="71">
        <v>4357</v>
      </c>
      <c r="L28" s="84">
        <v>1</v>
      </c>
      <c r="Q28" s="83"/>
    </row>
    <row r="29" spans="1:17" x14ac:dyDescent="0.25">
      <c r="A29" t="s">
        <v>846</v>
      </c>
      <c r="B29" s="85" t="s">
        <v>847</v>
      </c>
      <c r="C29" s="82" t="str">
        <f t="shared" ref="C29:C64" si="1">IF(ISBLANK(A29),"",A29&amp;":  ") &amp;B29</f>
        <v>S-L3952:  ENERGY STAR Omnidirectional/Decorative LED Lamp, 1,600-1,999 lumens, Interior</v>
      </c>
      <c r="D29" t="s">
        <v>848</v>
      </c>
      <c r="E29" t="s">
        <v>849</v>
      </c>
      <c r="F29" t="s">
        <v>850</v>
      </c>
      <c r="G29" t="s">
        <v>851</v>
      </c>
      <c r="H29" t="s">
        <v>852</v>
      </c>
      <c r="I29" s="83">
        <v>6</v>
      </c>
      <c r="J29" s="71" t="s">
        <v>853</v>
      </c>
      <c r="K29" s="71">
        <v>3952</v>
      </c>
      <c r="L29" s="84">
        <v>1</v>
      </c>
      <c r="Q29" s="83"/>
    </row>
    <row r="30" spans="1:17" x14ac:dyDescent="0.25">
      <c r="A30" t="s">
        <v>854</v>
      </c>
      <c r="B30" s="85" t="s">
        <v>855</v>
      </c>
      <c r="C30" s="82" t="str">
        <f t="shared" si="1"/>
        <v>S-L3953:  ENERGY STAR Omnidirectional/Decorative LED Lamp, 1,100-1,599 lumens, Interior</v>
      </c>
      <c r="D30" t="s">
        <v>848</v>
      </c>
      <c r="E30" t="s">
        <v>849</v>
      </c>
      <c r="F30" t="s">
        <v>850</v>
      </c>
      <c r="G30" t="s">
        <v>856</v>
      </c>
      <c r="H30" t="s">
        <v>852</v>
      </c>
      <c r="I30" s="83">
        <v>5</v>
      </c>
      <c r="J30" s="71" t="s">
        <v>853</v>
      </c>
      <c r="K30" s="71">
        <v>3953</v>
      </c>
      <c r="L30" s="84">
        <v>1</v>
      </c>
      <c r="Q30" s="83"/>
    </row>
    <row r="31" spans="1:17" x14ac:dyDescent="0.25">
      <c r="A31" t="s">
        <v>857</v>
      </c>
      <c r="B31" s="85" t="s">
        <v>858</v>
      </c>
      <c r="C31" s="82" t="str">
        <f t="shared" si="1"/>
        <v>S-L3954:  ENERGY STAR Omnidirectional/Decorative LED Lamp, 800-1,099 lumens, Interior</v>
      </c>
      <c r="D31" t="s">
        <v>848</v>
      </c>
      <c r="E31" t="s">
        <v>849</v>
      </c>
      <c r="F31" t="s">
        <v>850</v>
      </c>
      <c r="G31" t="s">
        <v>859</v>
      </c>
      <c r="H31" t="s">
        <v>852</v>
      </c>
      <c r="I31" s="83">
        <v>5</v>
      </c>
      <c r="J31" s="71" t="s">
        <v>853</v>
      </c>
      <c r="K31" s="71">
        <v>3954</v>
      </c>
      <c r="L31" s="84">
        <v>1</v>
      </c>
      <c r="Q31" s="83"/>
    </row>
    <row r="32" spans="1:17" x14ac:dyDescent="0.25">
      <c r="A32" t="s">
        <v>860</v>
      </c>
      <c r="B32" s="85" t="s">
        <v>861</v>
      </c>
      <c r="C32" s="82" t="str">
        <f t="shared" si="1"/>
        <v>S-L3955:  ENERGY STAR Omnidirectional/Decorative LED Lamp, 450-799 lumens, Interior</v>
      </c>
      <c r="D32" t="s">
        <v>848</v>
      </c>
      <c r="E32" t="s">
        <v>849</v>
      </c>
      <c r="F32" t="s">
        <v>850</v>
      </c>
      <c r="G32" t="s">
        <v>862</v>
      </c>
      <c r="H32" t="s">
        <v>852</v>
      </c>
      <c r="I32" s="83">
        <v>4</v>
      </c>
      <c r="J32" s="71" t="s">
        <v>853</v>
      </c>
      <c r="K32" s="71">
        <v>3955</v>
      </c>
      <c r="L32" s="84">
        <v>1</v>
      </c>
      <c r="Q32" s="83"/>
    </row>
    <row r="33" spans="1:17" x14ac:dyDescent="0.25">
      <c r="A33" t="s">
        <v>863</v>
      </c>
      <c r="B33" s="85" t="s">
        <v>864</v>
      </c>
      <c r="C33" s="82" t="str">
        <f t="shared" si="1"/>
        <v>S-L3956:  ENERGY STAR Omnidirectional/Decorative LED Lamp, 250-449 lumens, Interior</v>
      </c>
      <c r="D33" t="s">
        <v>848</v>
      </c>
      <c r="E33" t="s">
        <v>849</v>
      </c>
      <c r="F33" t="s">
        <v>850</v>
      </c>
      <c r="G33" t="s">
        <v>865</v>
      </c>
      <c r="H33" t="s">
        <v>852</v>
      </c>
      <c r="I33" s="83">
        <v>4</v>
      </c>
      <c r="J33" s="71" t="s">
        <v>853</v>
      </c>
      <c r="K33" s="71">
        <v>3956</v>
      </c>
      <c r="L33" s="84">
        <v>1</v>
      </c>
      <c r="Q33" s="83"/>
    </row>
    <row r="34" spans="1:17" x14ac:dyDescent="0.25">
      <c r="A34" t="s">
        <v>866</v>
      </c>
      <c r="B34" s="85" t="s">
        <v>867</v>
      </c>
      <c r="C34" s="82" t="str">
        <f t="shared" si="1"/>
        <v>S-L3941:  ENERGY STAR Directional LED replacing incandescent 120W – 250W, Interior</v>
      </c>
      <c r="D34" t="s">
        <v>868</v>
      </c>
      <c r="E34" t="s">
        <v>869</v>
      </c>
      <c r="F34" t="s">
        <v>850</v>
      </c>
      <c r="G34" t="s">
        <v>870</v>
      </c>
      <c r="H34" t="s">
        <v>852</v>
      </c>
      <c r="I34" s="83">
        <v>7</v>
      </c>
      <c r="J34" s="71" t="s">
        <v>853</v>
      </c>
      <c r="K34" s="71">
        <v>3941</v>
      </c>
      <c r="L34" s="84">
        <v>1</v>
      </c>
      <c r="Q34" s="83"/>
    </row>
    <row r="35" spans="1:17" x14ac:dyDescent="0.25">
      <c r="A35" t="s">
        <v>871</v>
      </c>
      <c r="B35" s="85" t="s">
        <v>872</v>
      </c>
      <c r="C35" s="82" t="str">
        <f t="shared" si="1"/>
        <v>S-L3942:  ENERGY STAR Directional LED replacing incandescent 100W – 119W, Interior</v>
      </c>
      <c r="D35" t="s">
        <v>868</v>
      </c>
      <c r="E35" t="s">
        <v>869</v>
      </c>
      <c r="F35" t="s">
        <v>850</v>
      </c>
      <c r="G35" t="s">
        <v>873</v>
      </c>
      <c r="H35" t="s">
        <v>852</v>
      </c>
      <c r="I35" s="83">
        <v>6</v>
      </c>
      <c r="J35" s="71" t="s">
        <v>853</v>
      </c>
      <c r="K35" s="71">
        <v>3942</v>
      </c>
      <c r="L35" s="84">
        <v>1</v>
      </c>
      <c r="Q35" s="83"/>
    </row>
    <row r="36" spans="1:17" x14ac:dyDescent="0.25">
      <c r="A36" t="s">
        <v>874</v>
      </c>
      <c r="B36" s="85" t="s">
        <v>875</v>
      </c>
      <c r="C36" s="82" t="str">
        <f t="shared" si="1"/>
        <v>S-L3943:  ENERGY STAR Directional LED replacing incandescent 75W – 99W, Interior</v>
      </c>
      <c r="D36" t="s">
        <v>868</v>
      </c>
      <c r="E36" t="s">
        <v>869</v>
      </c>
      <c r="F36" t="s">
        <v>850</v>
      </c>
      <c r="G36" t="s">
        <v>876</v>
      </c>
      <c r="H36" t="s">
        <v>852</v>
      </c>
      <c r="I36" s="83">
        <v>5</v>
      </c>
      <c r="J36" s="71" t="s">
        <v>853</v>
      </c>
      <c r="K36" s="71">
        <v>3943</v>
      </c>
      <c r="L36" s="84">
        <v>1</v>
      </c>
      <c r="Q36" s="83"/>
    </row>
    <row r="37" spans="1:17" x14ac:dyDescent="0.25">
      <c r="A37" t="s">
        <v>877</v>
      </c>
      <c r="B37" s="85" t="s">
        <v>878</v>
      </c>
      <c r="C37" s="82" t="str">
        <f t="shared" si="1"/>
        <v>S-L3944:  ENERGY STAR Directional LED replacing incandescent 55W – 74W, Interior</v>
      </c>
      <c r="D37" t="s">
        <v>868</v>
      </c>
      <c r="E37" t="s">
        <v>869</v>
      </c>
      <c r="F37" t="s">
        <v>850</v>
      </c>
      <c r="G37" t="s">
        <v>879</v>
      </c>
      <c r="H37" t="s">
        <v>852</v>
      </c>
      <c r="I37" s="83">
        <v>4</v>
      </c>
      <c r="J37" s="71" t="s">
        <v>853</v>
      </c>
      <c r="K37" s="71">
        <v>3944</v>
      </c>
      <c r="L37" s="84">
        <v>1</v>
      </c>
      <c r="Q37" s="83"/>
    </row>
    <row r="38" spans="1:17" x14ac:dyDescent="0.25">
      <c r="A38" t="s">
        <v>880</v>
      </c>
      <c r="B38" s="85" t="s">
        <v>881</v>
      </c>
      <c r="C38" s="82" t="str">
        <f t="shared" si="1"/>
        <v>S-L3945:  ENERGY STAR Directional LED replacing incandescent 36W – 54W, Interior</v>
      </c>
      <c r="D38" t="s">
        <v>868</v>
      </c>
      <c r="E38" t="s">
        <v>869</v>
      </c>
      <c r="F38" t="s">
        <v>850</v>
      </c>
      <c r="G38" t="s">
        <v>882</v>
      </c>
      <c r="H38" t="s">
        <v>852</v>
      </c>
      <c r="I38" s="83">
        <v>3.5</v>
      </c>
      <c r="J38" s="71" t="s">
        <v>853</v>
      </c>
      <c r="K38" s="71">
        <v>3945</v>
      </c>
      <c r="L38" s="84">
        <v>1</v>
      </c>
      <c r="Q38" s="83"/>
    </row>
    <row r="39" spans="1:17" x14ac:dyDescent="0.25">
      <c r="A39" t="s">
        <v>883</v>
      </c>
      <c r="B39" s="85" t="s">
        <v>884</v>
      </c>
      <c r="C39" s="82" t="str">
        <f t="shared" si="1"/>
        <v>S-L3946:  ENERGY STAR Directional LED replacing incandescent ≤ 35W, Interior</v>
      </c>
      <c r="D39" t="s">
        <v>868</v>
      </c>
      <c r="E39" t="s">
        <v>869</v>
      </c>
      <c r="F39" t="s">
        <v>850</v>
      </c>
      <c r="G39" t="s">
        <v>885</v>
      </c>
      <c r="H39" t="s">
        <v>852</v>
      </c>
      <c r="I39" s="83">
        <v>3</v>
      </c>
      <c r="J39" s="71" t="s">
        <v>853</v>
      </c>
      <c r="K39" s="71">
        <v>3946</v>
      </c>
      <c r="L39" s="84">
        <v>1</v>
      </c>
      <c r="Q39" s="83"/>
    </row>
    <row r="40" spans="1:17" x14ac:dyDescent="0.25">
      <c r="A40" t="s">
        <v>886</v>
      </c>
      <c r="B40" s="85" t="s">
        <v>887</v>
      </c>
      <c r="C40" s="82" t="str">
        <f t="shared" si="1"/>
        <v>S-L3932:  ENERGY STAR Directional LED replacing CFL ≥ 23W, Interior</v>
      </c>
      <c r="D40" t="s">
        <v>868</v>
      </c>
      <c r="E40" t="s">
        <v>888</v>
      </c>
      <c r="F40" t="s">
        <v>850</v>
      </c>
      <c r="G40" t="s">
        <v>889</v>
      </c>
      <c r="H40" t="s">
        <v>852</v>
      </c>
      <c r="I40" s="83">
        <v>2.75</v>
      </c>
      <c r="J40" s="71" t="s">
        <v>853</v>
      </c>
      <c r="K40" s="71">
        <v>3932</v>
      </c>
      <c r="L40" s="84">
        <v>1</v>
      </c>
      <c r="Q40" s="83"/>
    </row>
    <row r="41" spans="1:17" x14ac:dyDescent="0.25">
      <c r="A41" t="s">
        <v>890</v>
      </c>
      <c r="B41" s="85" t="s">
        <v>891</v>
      </c>
      <c r="C41" s="82" t="str">
        <f t="shared" si="1"/>
        <v>S-L3933:  ENERGY STAR Directional LED replacing CFL 14W – 22W, Interior</v>
      </c>
      <c r="D41" t="s">
        <v>868</v>
      </c>
      <c r="E41" t="s">
        <v>888</v>
      </c>
      <c r="F41" t="s">
        <v>850</v>
      </c>
      <c r="G41" t="s">
        <v>892</v>
      </c>
      <c r="H41" t="s">
        <v>852</v>
      </c>
      <c r="I41" s="83">
        <v>2.5</v>
      </c>
      <c r="J41" s="71" t="s">
        <v>853</v>
      </c>
      <c r="K41" s="71">
        <v>3933</v>
      </c>
      <c r="L41" s="84">
        <v>1</v>
      </c>
      <c r="Q41" s="83"/>
    </row>
    <row r="42" spans="1:17" x14ac:dyDescent="0.25">
      <c r="A42" t="s">
        <v>893</v>
      </c>
      <c r="B42" s="85" t="s">
        <v>894</v>
      </c>
      <c r="C42" s="82" t="str">
        <f t="shared" si="1"/>
        <v>S-L3934:  ENERGY STAR Directional LED replacing CFL ≤ 13W, Interior</v>
      </c>
      <c r="D42" t="s">
        <v>868</v>
      </c>
      <c r="E42" t="s">
        <v>888</v>
      </c>
      <c r="F42" t="s">
        <v>850</v>
      </c>
      <c r="G42" t="s">
        <v>895</v>
      </c>
      <c r="H42" t="s">
        <v>852</v>
      </c>
      <c r="I42" s="83">
        <v>2</v>
      </c>
      <c r="J42" s="71" t="s">
        <v>853</v>
      </c>
      <c r="K42" s="71">
        <v>3934</v>
      </c>
      <c r="L42" s="84">
        <v>1</v>
      </c>
      <c r="Q42" s="83"/>
    </row>
    <row r="43" spans="1:17" x14ac:dyDescent="0.25">
      <c r="A43" t="s">
        <v>896</v>
      </c>
      <c r="B43" s="85" t="s">
        <v>897</v>
      </c>
      <c r="C43" s="82" t="str">
        <f t="shared" si="1"/>
        <v>S-L3962:  DLC listed, Mogul Screw-Base (E39) lamp replacing HID</v>
      </c>
      <c r="I43" s="83">
        <v>0.2</v>
      </c>
      <c r="J43" s="71" t="s">
        <v>898</v>
      </c>
      <c r="K43" s="71" t="s">
        <v>899</v>
      </c>
      <c r="L43" s="84">
        <v>1</v>
      </c>
      <c r="Q43" s="83"/>
    </row>
    <row r="44" spans="1:17" x14ac:dyDescent="0.25">
      <c r="A44" t="s">
        <v>900</v>
      </c>
      <c r="B44" s="85" t="s">
        <v>901</v>
      </c>
      <c r="C44" s="82" t="str">
        <f t="shared" si="1"/>
        <v>S-L3511:  4' LED Lamp: Replace 4’ T8 or T12 Lamp, External Driver (UL Type C)</v>
      </c>
      <c r="D44" t="s">
        <v>902</v>
      </c>
      <c r="E44" t="s">
        <v>903</v>
      </c>
      <c r="F44" t="s">
        <v>904</v>
      </c>
      <c r="G44" t="s">
        <v>905</v>
      </c>
      <c r="H44" t="s">
        <v>906</v>
      </c>
      <c r="I44" s="83">
        <v>3</v>
      </c>
      <c r="J44" s="71" t="s">
        <v>853</v>
      </c>
      <c r="K44" s="71">
        <v>3511</v>
      </c>
      <c r="L44" s="84">
        <v>1</v>
      </c>
      <c r="Q44" s="83"/>
    </row>
    <row r="45" spans="1:17" x14ac:dyDescent="0.25">
      <c r="A45" t="s">
        <v>907</v>
      </c>
      <c r="B45" s="85" t="s">
        <v>908</v>
      </c>
      <c r="C45" s="82" t="str">
        <f t="shared" si="1"/>
        <v>S-L3759:  4' LED Lamp: Replace 4’ T8 or T12 Lamp, Direct Wire (UL Type B)</v>
      </c>
      <c r="D45" t="s">
        <v>902</v>
      </c>
      <c r="E45" t="s">
        <v>903</v>
      </c>
      <c r="F45" t="s">
        <v>904</v>
      </c>
      <c r="G45" t="s">
        <v>905</v>
      </c>
      <c r="H45" t="s">
        <v>906</v>
      </c>
      <c r="I45" s="83">
        <v>3</v>
      </c>
      <c r="J45" s="71" t="s">
        <v>853</v>
      </c>
      <c r="K45" s="71">
        <v>3759</v>
      </c>
      <c r="L45" s="84">
        <v>1</v>
      </c>
      <c r="Q45" s="83"/>
    </row>
    <row r="46" spans="1:17" x14ac:dyDescent="0.25">
      <c r="A46" t="s">
        <v>909</v>
      </c>
      <c r="B46" s="85" t="s">
        <v>910</v>
      </c>
      <c r="C46" s="82" t="str">
        <f t="shared" si="1"/>
        <v>S-L3512:  4' LED Lamp: Replace 4’ T8 Lamp, Utilizing Existing Ballast (UL Type A)</v>
      </c>
      <c r="D46" t="s">
        <v>902</v>
      </c>
      <c r="E46" t="s">
        <v>903</v>
      </c>
      <c r="F46" t="s">
        <v>904</v>
      </c>
      <c r="G46" t="s">
        <v>905</v>
      </c>
      <c r="H46" t="s">
        <v>906</v>
      </c>
      <c r="I46" s="83">
        <v>2.5</v>
      </c>
      <c r="J46" s="71" t="s">
        <v>853</v>
      </c>
      <c r="K46" s="71">
        <v>3512</v>
      </c>
      <c r="L46" s="84">
        <v>1</v>
      </c>
      <c r="Q46" s="83"/>
    </row>
    <row r="47" spans="1:17" x14ac:dyDescent="0.25">
      <c r="A47" t="s">
        <v>911</v>
      </c>
      <c r="B47" s="85" t="s">
        <v>912</v>
      </c>
      <c r="C47" s="82" t="str">
        <f t="shared" si="1"/>
        <v>S-L4793:  DLC Listed LED, &lt;44W, 2X4 product replacing or instead of 1- or 2-lamp T8 or T12</v>
      </c>
      <c r="I47" s="83">
        <v>15</v>
      </c>
      <c r="J47" s="71" t="s">
        <v>744</v>
      </c>
      <c r="K47" s="71">
        <v>4793</v>
      </c>
      <c r="L47" s="84">
        <v>1</v>
      </c>
      <c r="Q47" s="83"/>
    </row>
    <row r="48" spans="1:17" x14ac:dyDescent="0.25">
      <c r="A48" t="s">
        <v>913</v>
      </c>
      <c r="B48" s="85" t="s">
        <v>914</v>
      </c>
      <c r="C48" s="82" t="str">
        <f t="shared" si="1"/>
        <v>S-L4813:  LED track/mono/accent fixtures replacing incandescent, CFL, or HID fixture (see system wattage table on pg. 61 for baseline inputs)</v>
      </c>
      <c r="I48" s="83">
        <v>0.2</v>
      </c>
      <c r="J48" s="71" t="s">
        <v>824</v>
      </c>
      <c r="K48" s="71">
        <v>4813</v>
      </c>
      <c r="L48" s="84">
        <v>1</v>
      </c>
      <c r="Q48" s="83"/>
    </row>
    <row r="49" spans="1:17" x14ac:dyDescent="0.25">
      <c r="A49" t="s">
        <v>915</v>
      </c>
      <c r="B49" s="85" t="s">
        <v>916</v>
      </c>
      <c r="C49" s="82" t="str">
        <f t="shared" si="1"/>
        <v>S-L4779:  Four Pin-Base Lamp Replacing CFL</v>
      </c>
      <c r="I49" s="83">
        <v>0.2</v>
      </c>
      <c r="J49" s="71" t="s">
        <v>824</v>
      </c>
      <c r="K49" s="71">
        <v>4779</v>
      </c>
      <c r="L49" s="84">
        <v>1</v>
      </c>
      <c r="Q49" s="83"/>
    </row>
    <row r="50" spans="1:17" x14ac:dyDescent="0.25">
      <c r="A50" t="s">
        <v>917</v>
      </c>
      <c r="B50" s="85" t="s">
        <v>918</v>
      </c>
      <c r="C50" s="82" t="str">
        <f t="shared" si="1"/>
        <v>S-L4803:  LED Replacement of 4' T5 Lamp w/External Driver (UL Type C)</v>
      </c>
      <c r="I50" s="83">
        <v>3</v>
      </c>
      <c r="J50" s="71" t="s">
        <v>853</v>
      </c>
      <c r="K50" s="71">
        <v>4803</v>
      </c>
      <c r="L50" s="84">
        <v>1</v>
      </c>
      <c r="Q50" s="83"/>
    </row>
    <row r="51" spans="1:17" x14ac:dyDescent="0.25">
      <c r="A51" t="s">
        <v>919</v>
      </c>
      <c r="B51" s="85" t="s">
        <v>920</v>
      </c>
      <c r="C51" s="82" t="str">
        <f t="shared" si="1"/>
        <v>S-L4804:  LED Replacement of 4' T5HO Lamp w/External Driver (UL Type C)</v>
      </c>
      <c r="I51" s="83">
        <v>4</v>
      </c>
      <c r="J51" s="71" t="s">
        <v>853</v>
      </c>
      <c r="K51" s="71">
        <v>4804</v>
      </c>
      <c r="L51" s="84">
        <v>1</v>
      </c>
      <c r="Q51" s="83"/>
    </row>
    <row r="52" spans="1:17" x14ac:dyDescent="0.25">
      <c r="A52" t="s">
        <v>921</v>
      </c>
      <c r="B52" s="85" t="s">
        <v>922</v>
      </c>
      <c r="C52" s="82" t="str">
        <f t="shared" si="1"/>
        <v>S-L4805:  LED Replacement of 4' T5 Lamp, Direct Wire (UL Type B)</v>
      </c>
      <c r="I52" s="83">
        <v>3</v>
      </c>
      <c r="J52" s="71" t="s">
        <v>853</v>
      </c>
      <c r="K52" s="71">
        <v>4805</v>
      </c>
      <c r="L52" s="84">
        <v>1</v>
      </c>
      <c r="Q52" s="83"/>
    </row>
    <row r="53" spans="1:17" x14ac:dyDescent="0.25">
      <c r="A53" t="s">
        <v>923</v>
      </c>
      <c r="B53" s="85" t="s">
        <v>924</v>
      </c>
      <c r="C53" s="82" t="str">
        <f t="shared" si="1"/>
        <v>S-L4806:  LED Replacement of 4' T5HO Lamp, Direct Wire (UL Type B)</v>
      </c>
      <c r="I53" s="83">
        <v>4</v>
      </c>
      <c r="J53" s="71" t="s">
        <v>853</v>
      </c>
      <c r="K53" s="71">
        <v>4806</v>
      </c>
      <c r="L53" s="84">
        <v>1</v>
      </c>
      <c r="Q53" s="83"/>
    </row>
    <row r="54" spans="1:17" x14ac:dyDescent="0.25">
      <c r="A54" t="s">
        <v>925</v>
      </c>
      <c r="B54" s="85" t="s">
        <v>926</v>
      </c>
      <c r="C54" s="82" t="str">
        <f t="shared" si="1"/>
        <v>S-L4807:  LED Replacement of 4' T5 Lamp Utilizing Existing Ballast (UL Type A)</v>
      </c>
      <c r="I54" s="83">
        <v>2.5</v>
      </c>
      <c r="J54" s="71" t="s">
        <v>853</v>
      </c>
      <c r="K54" s="71">
        <v>4807</v>
      </c>
      <c r="L54" s="84">
        <v>1</v>
      </c>
      <c r="Q54" s="83"/>
    </row>
    <row r="55" spans="1:17" x14ac:dyDescent="0.25">
      <c r="A55" t="s">
        <v>927</v>
      </c>
      <c r="B55" s="85" t="s">
        <v>928</v>
      </c>
      <c r="C55" s="82" t="str">
        <f t="shared" si="1"/>
        <v>S-L4808:  LED Replacement of 4' T5HO Lamp Utilizing Existing Ballast (UL Type A)</v>
      </c>
      <c r="I55" s="83">
        <v>3.5</v>
      </c>
      <c r="J55" s="71" t="s">
        <v>853</v>
      </c>
      <c r="K55" s="71">
        <v>4808</v>
      </c>
      <c r="L55" s="84">
        <v>1</v>
      </c>
      <c r="Q55" s="83"/>
    </row>
    <row r="56" spans="1:17" x14ac:dyDescent="0.25">
      <c r="A56" t="s">
        <v>929</v>
      </c>
      <c r="B56" s="85" t="s">
        <v>930</v>
      </c>
      <c r="C56" s="82" t="str">
        <f t="shared" si="1"/>
        <v>S-L4797:  LED Replacement of 2'T8 or T12 Lamp w/External Driver (UL Type C)</v>
      </c>
      <c r="I56" s="83">
        <v>2.5</v>
      </c>
      <c r="J56" s="71" t="s">
        <v>853</v>
      </c>
      <c r="K56" s="71">
        <v>4797</v>
      </c>
      <c r="L56" s="84">
        <v>1</v>
      </c>
      <c r="Q56" s="83"/>
    </row>
    <row r="57" spans="1:17" x14ac:dyDescent="0.25">
      <c r="A57" t="s">
        <v>931</v>
      </c>
      <c r="B57" s="85" t="s">
        <v>932</v>
      </c>
      <c r="C57" s="82" t="str">
        <f t="shared" si="1"/>
        <v>S-L4798:  LED Replacement of 2'T8 or T12 Lamp, Direct Wire (UL Type B)</v>
      </c>
      <c r="I57" s="83">
        <v>2.5</v>
      </c>
      <c r="J57" s="71" t="s">
        <v>853</v>
      </c>
      <c r="K57" s="71">
        <v>4798</v>
      </c>
      <c r="L57" s="84">
        <v>1</v>
      </c>
      <c r="Q57" s="83"/>
    </row>
    <row r="58" spans="1:17" x14ac:dyDescent="0.25">
      <c r="A58" t="s">
        <v>933</v>
      </c>
      <c r="B58" s="85" t="s">
        <v>934</v>
      </c>
      <c r="C58" s="82" t="str">
        <f t="shared" si="1"/>
        <v>S-L4799:  LED Replacement of 2'T8 or T12 Lamp Utilizing Existing Ballast (UL Type A)</v>
      </c>
      <c r="I58" s="83">
        <v>2</v>
      </c>
      <c r="J58" s="71" t="s">
        <v>853</v>
      </c>
      <c r="K58" s="71">
        <v>4799</v>
      </c>
      <c r="L58" s="84">
        <v>1</v>
      </c>
      <c r="Q58" s="83"/>
    </row>
    <row r="59" spans="1:17" x14ac:dyDescent="0.25">
      <c r="A59" t="s">
        <v>935</v>
      </c>
      <c r="B59" s="85" t="s">
        <v>936</v>
      </c>
      <c r="C59" s="82" t="str">
        <f t="shared" si="1"/>
        <v>S-L4800:  LED Replacement of U-Bend T8 or T12 Lamp w/External Driver (UL Type C)</v>
      </c>
      <c r="I59" s="83">
        <v>3</v>
      </c>
      <c r="J59" s="71" t="s">
        <v>853</v>
      </c>
      <c r="K59" s="71">
        <v>4800</v>
      </c>
      <c r="L59" s="84">
        <v>1</v>
      </c>
      <c r="Q59" s="83"/>
    </row>
    <row r="60" spans="1:17" x14ac:dyDescent="0.25">
      <c r="A60" t="s">
        <v>937</v>
      </c>
      <c r="B60" s="85" t="s">
        <v>938</v>
      </c>
      <c r="C60" s="82" t="str">
        <f t="shared" si="1"/>
        <v>S-L4801:  LED Replacement of U-Bend T8 or T12 Lamp, Direct Wire (UL Type B)</v>
      </c>
      <c r="I60" s="83">
        <v>3</v>
      </c>
      <c r="J60" s="71" t="s">
        <v>853</v>
      </c>
      <c r="K60" s="71">
        <v>4801</v>
      </c>
      <c r="L60" s="84">
        <v>1</v>
      </c>
      <c r="Q60" s="83"/>
    </row>
    <row r="61" spans="1:17" x14ac:dyDescent="0.25">
      <c r="A61" t="s">
        <v>939</v>
      </c>
      <c r="B61" s="85" t="s">
        <v>940</v>
      </c>
      <c r="C61" s="82" t="str">
        <f t="shared" si="1"/>
        <v>S-L4802:  LED Replacement of U-Bend T8 or T12 Lamp Utilizing Existing Ballast (UL Type A)</v>
      </c>
      <c r="I61" s="83">
        <v>2.5</v>
      </c>
      <c r="J61" s="71" t="s">
        <v>853</v>
      </c>
      <c r="K61" s="71">
        <v>4802</v>
      </c>
      <c r="L61" s="84">
        <v>1</v>
      </c>
      <c r="Q61" s="83"/>
    </row>
    <row r="62" spans="1:17" x14ac:dyDescent="0.25">
      <c r="A62" t="s">
        <v>941</v>
      </c>
      <c r="B62" s="85" t="s">
        <v>942</v>
      </c>
      <c r="C62" s="82" t="str">
        <f t="shared" si="1"/>
        <v>S-L4809:  LED Replacement of 8'T8 or T12 Lamp w/External Driver (UL Type C)</v>
      </c>
      <c r="I62" s="83">
        <v>5</v>
      </c>
      <c r="J62" s="71" t="s">
        <v>853</v>
      </c>
      <c r="K62" s="71">
        <v>4809</v>
      </c>
      <c r="L62" s="84">
        <v>1</v>
      </c>
      <c r="Q62" s="83"/>
    </row>
    <row r="63" spans="1:17" x14ac:dyDescent="0.25">
      <c r="A63" t="s">
        <v>943</v>
      </c>
      <c r="B63" s="85" t="s">
        <v>944</v>
      </c>
      <c r="C63" s="82" t="str">
        <f t="shared" si="1"/>
        <v>S-L4810:  LED Replacement of 8'T8 or T12 Lamp, Direct Wire (UL Type B)</v>
      </c>
      <c r="I63" s="83">
        <v>5</v>
      </c>
      <c r="J63" s="71" t="s">
        <v>853</v>
      </c>
      <c r="K63" s="71">
        <v>4810</v>
      </c>
      <c r="L63" s="84">
        <v>1</v>
      </c>
      <c r="Q63" s="83"/>
    </row>
    <row r="64" spans="1:17" x14ac:dyDescent="0.25">
      <c r="A64" t="s">
        <v>945</v>
      </c>
      <c r="B64" s="85" t="s">
        <v>946</v>
      </c>
      <c r="C64" s="82" t="str">
        <f t="shared" si="1"/>
        <v>S-L4811:  LED Replacement of 8'T8 or T12 Lamp Utilizing Existing Ballast (UL Type A)</v>
      </c>
      <c r="I64" s="83">
        <v>4</v>
      </c>
      <c r="J64" s="71" t="s">
        <v>853</v>
      </c>
      <c r="K64" s="71">
        <v>4811</v>
      </c>
      <c r="L64" s="84">
        <v>1</v>
      </c>
      <c r="Q64" s="83"/>
    </row>
    <row r="65" spans="1:17" x14ac:dyDescent="0.25">
      <c r="B65" s="81" t="s">
        <v>947</v>
      </c>
      <c r="C65" s="82" t="str">
        <f t="shared" ref="C65:C96" si="2">IF(ISBLANK(A65),"",A65&amp;":  ") &amp;B65</f>
        <v>----------------------LIGHTING CATALOG: EXTERIOR FIXTURES AND LAMPS----------------------------</v>
      </c>
      <c r="D65" s="77"/>
      <c r="E65" s="77"/>
      <c r="F65" s="77"/>
      <c r="G65" s="77"/>
      <c r="H65" s="77"/>
      <c r="I65" s="83"/>
      <c r="J65" s="70"/>
      <c r="K65" s="70"/>
      <c r="L65" s="84"/>
      <c r="Q65" s="83"/>
    </row>
    <row r="66" spans="1:17" x14ac:dyDescent="0.25">
      <c r="A66" t="s">
        <v>948</v>
      </c>
      <c r="B66" s="85" t="s">
        <v>949</v>
      </c>
      <c r="C66" s="82" t="str">
        <f t="shared" si="2"/>
        <v>S-L4280:  Outdoor – Low Output ≤4,999 lumens</v>
      </c>
      <c r="D66" s="77"/>
      <c r="E66" s="77"/>
      <c r="F66" s="77"/>
      <c r="G66" s="77"/>
      <c r="H66" s="77"/>
      <c r="I66" s="83">
        <v>35</v>
      </c>
      <c r="J66" s="71" t="s">
        <v>744</v>
      </c>
      <c r="K66" s="71" t="s">
        <v>950</v>
      </c>
      <c r="L66" s="84">
        <v>1</v>
      </c>
      <c r="Q66" s="83"/>
    </row>
    <row r="67" spans="1:17" x14ac:dyDescent="0.25">
      <c r="A67" t="s">
        <v>951</v>
      </c>
      <c r="B67" s="85" t="s">
        <v>952</v>
      </c>
      <c r="C67" s="82" t="str">
        <f t="shared" si="2"/>
        <v>S-L4281:  Outdoor – Mid Output 5,000 – 9,999 lumens</v>
      </c>
      <c r="D67" s="77"/>
      <c r="E67" s="77"/>
      <c r="F67" s="77"/>
      <c r="G67" s="77"/>
      <c r="H67" s="77"/>
      <c r="I67" s="83">
        <v>75</v>
      </c>
      <c r="J67" s="71" t="s">
        <v>744</v>
      </c>
      <c r="K67" s="71" t="s">
        <v>953</v>
      </c>
      <c r="L67" s="84">
        <v>1</v>
      </c>
      <c r="Q67" s="83"/>
    </row>
    <row r="68" spans="1:17" x14ac:dyDescent="0.25">
      <c r="A68" t="s">
        <v>954</v>
      </c>
      <c r="B68" s="85" t="s">
        <v>955</v>
      </c>
      <c r="C68" s="82" t="str">
        <f t="shared" si="2"/>
        <v>S-L4282:  Outdoor – High Output 10,000 – 29,999 lumens</v>
      </c>
      <c r="D68" s="77"/>
      <c r="E68" s="77"/>
      <c r="F68" s="77"/>
      <c r="G68" s="77"/>
      <c r="H68" s="77"/>
      <c r="I68" s="83">
        <v>100</v>
      </c>
      <c r="J68" s="71" t="s">
        <v>744</v>
      </c>
      <c r="K68" s="71" t="s">
        <v>956</v>
      </c>
      <c r="L68" s="84">
        <v>1</v>
      </c>
      <c r="Q68" s="83"/>
    </row>
    <row r="69" spans="1:17" x14ac:dyDescent="0.25">
      <c r="A69" t="s">
        <v>957</v>
      </c>
      <c r="B69" s="85" t="s">
        <v>958</v>
      </c>
      <c r="C69" s="82" t="str">
        <f t="shared" si="2"/>
        <v>S-L4283:  Outdoor – Very High Output ≥30,000 lumens</v>
      </c>
      <c r="D69" s="77"/>
      <c r="E69" s="77"/>
      <c r="F69" s="77"/>
      <c r="G69" s="77"/>
      <c r="H69" s="77"/>
      <c r="I69" s="83">
        <v>175</v>
      </c>
      <c r="J69" s="71" t="s">
        <v>744</v>
      </c>
      <c r="K69" s="71" t="s">
        <v>959</v>
      </c>
      <c r="L69" s="84">
        <v>1</v>
      </c>
      <c r="Q69" s="83"/>
    </row>
    <row r="70" spans="1:17" x14ac:dyDescent="0.25">
      <c r="A70" t="s">
        <v>960</v>
      </c>
      <c r="B70" s="85" t="s">
        <v>823</v>
      </c>
      <c r="C70" s="82" t="str">
        <f t="shared" si="2"/>
        <v>S-L4356:  LED Downlight Fixtures replacing or instead of Incandescent, CFL or HID fixture (See system wattage table on pg. 61 of Lighting Catalog for baseline inputs)</v>
      </c>
      <c r="D70" s="77"/>
      <c r="E70" s="77"/>
      <c r="F70" s="77"/>
      <c r="G70" s="77"/>
      <c r="H70" s="77"/>
      <c r="I70" s="83">
        <v>0.4</v>
      </c>
      <c r="J70" s="71" t="s">
        <v>824</v>
      </c>
      <c r="K70" s="71" t="s">
        <v>961</v>
      </c>
      <c r="L70" s="84">
        <v>1</v>
      </c>
      <c r="Q70" s="83"/>
    </row>
    <row r="71" spans="1:17" x14ac:dyDescent="0.25">
      <c r="A71" t="s">
        <v>962</v>
      </c>
      <c r="B71" s="85" t="s">
        <v>963</v>
      </c>
      <c r="C71" s="82" t="str">
        <f t="shared" si="2"/>
        <v>S-L3904:  Exterior LED Signage</v>
      </c>
      <c r="D71" s="87" t="s">
        <v>964</v>
      </c>
      <c r="E71" t="s">
        <v>965</v>
      </c>
      <c r="F71" t="s">
        <v>966</v>
      </c>
      <c r="G71" t="s">
        <v>831</v>
      </c>
      <c r="H71" t="s">
        <v>832</v>
      </c>
      <c r="I71" s="83">
        <v>0.5</v>
      </c>
      <c r="J71" s="71" t="s">
        <v>824</v>
      </c>
      <c r="K71" s="71">
        <v>3904</v>
      </c>
      <c r="L71" s="84">
        <v>1</v>
      </c>
      <c r="Q71" s="83"/>
    </row>
    <row r="72" spans="1:17" x14ac:dyDescent="0.25">
      <c r="A72" t="s">
        <v>967</v>
      </c>
      <c r="B72" s="85" t="s">
        <v>968</v>
      </c>
      <c r="C72" s="82" t="str">
        <f t="shared" si="2"/>
        <v>S-L4316:  4' 2-lamp TLED &lt;24W replacing 8' 1-lamp T8 or T12, 24 Hour</v>
      </c>
      <c r="D72" s="87"/>
      <c r="I72" s="83">
        <v>12.5</v>
      </c>
      <c r="J72" s="71" t="s">
        <v>744</v>
      </c>
      <c r="K72" s="71" t="s">
        <v>969</v>
      </c>
      <c r="L72" s="84">
        <v>1</v>
      </c>
      <c r="Q72" s="83"/>
    </row>
    <row r="73" spans="1:17" x14ac:dyDescent="0.25">
      <c r="A73" t="s">
        <v>970</v>
      </c>
      <c r="B73" s="85" t="s">
        <v>971</v>
      </c>
      <c r="C73" s="82" t="str">
        <f t="shared" si="2"/>
        <v>S-L4315:  4' 2-lamp TLED &lt;24W replacing 8' 1-lamp T8 or T12, 12 Hour</v>
      </c>
      <c r="D73" s="87"/>
      <c r="I73" s="83">
        <v>12.5</v>
      </c>
      <c r="J73" s="71" t="s">
        <v>744</v>
      </c>
      <c r="K73" s="71" t="s">
        <v>972</v>
      </c>
      <c r="L73" s="84">
        <v>1</v>
      </c>
      <c r="Q73" s="83"/>
    </row>
    <row r="74" spans="1:17" x14ac:dyDescent="0.25">
      <c r="A74" t="s">
        <v>973</v>
      </c>
      <c r="B74" s="85" t="s">
        <v>974</v>
      </c>
      <c r="C74" s="82" t="str">
        <f t="shared" si="2"/>
        <v>S-L4319:  4' 2-lamp TLED &lt;24W replacing 8' 1-lamp T8HO or T12HO, 24 Hour</v>
      </c>
      <c r="D74" s="87"/>
      <c r="I74" s="83">
        <v>12.5</v>
      </c>
      <c r="J74" s="71" t="s">
        <v>744</v>
      </c>
      <c r="K74" s="71" t="s">
        <v>975</v>
      </c>
      <c r="L74" s="84">
        <v>1</v>
      </c>
      <c r="Q74" s="83"/>
    </row>
    <row r="75" spans="1:17" x14ac:dyDescent="0.25">
      <c r="A75" t="s">
        <v>976</v>
      </c>
      <c r="B75" s="85" t="s">
        <v>977</v>
      </c>
      <c r="C75" s="82" t="str">
        <f t="shared" si="2"/>
        <v>S-L4318:  4' 2-lamp TLED &lt;24W replacing 8' 1-lamp T8HO or T12HO, 12 Hour</v>
      </c>
      <c r="D75" s="87"/>
      <c r="I75" s="83">
        <v>12.5</v>
      </c>
      <c r="J75" s="71" t="s">
        <v>744</v>
      </c>
      <c r="K75" s="71" t="s">
        <v>978</v>
      </c>
      <c r="L75" s="84">
        <v>1</v>
      </c>
      <c r="Q75" s="83"/>
    </row>
    <row r="76" spans="1:17" x14ac:dyDescent="0.25">
      <c r="A76" t="s">
        <v>979</v>
      </c>
      <c r="B76" s="85" t="s">
        <v>980</v>
      </c>
      <c r="C76" s="82" t="str">
        <f t="shared" si="2"/>
        <v>S-L4322:  4’ 4-lamp TLED &lt;24W replacing 8' 2-lamp T8 or T12, 24 Hour</v>
      </c>
      <c r="D76" s="87"/>
      <c r="I76" s="83">
        <v>17.5</v>
      </c>
      <c r="J76" s="71" t="s">
        <v>744</v>
      </c>
      <c r="K76" s="71" t="s">
        <v>981</v>
      </c>
      <c r="L76" s="84">
        <v>1</v>
      </c>
      <c r="Q76" s="83"/>
    </row>
    <row r="77" spans="1:17" x14ac:dyDescent="0.25">
      <c r="A77" t="s">
        <v>982</v>
      </c>
      <c r="B77" s="85" t="s">
        <v>983</v>
      </c>
      <c r="C77" s="82" t="str">
        <f t="shared" si="2"/>
        <v>S-L4321:  4’ 4-lamp TLED &lt;24W replacing 8' 2-lamp T8 or T12, 12 Hour</v>
      </c>
      <c r="D77" s="87"/>
      <c r="I77" s="83">
        <v>17.5</v>
      </c>
      <c r="J77" s="71" t="s">
        <v>744</v>
      </c>
      <c r="K77" s="71" t="s">
        <v>984</v>
      </c>
      <c r="L77" s="84">
        <v>1</v>
      </c>
      <c r="Q77" s="83"/>
    </row>
    <row r="78" spans="1:17" x14ac:dyDescent="0.25">
      <c r="A78" t="s">
        <v>985</v>
      </c>
      <c r="B78" s="85" t="s">
        <v>986</v>
      </c>
      <c r="C78" s="82" t="str">
        <f t="shared" si="2"/>
        <v>S-L4325:  4' 4-lamp TLED &lt;24W replacing 8' 2-lamp T8HO or T12HO, 24 Hour</v>
      </c>
      <c r="D78" s="87"/>
      <c r="I78" s="83">
        <v>17.5</v>
      </c>
      <c r="J78" s="71" t="s">
        <v>744</v>
      </c>
      <c r="K78" s="71" t="s">
        <v>987</v>
      </c>
      <c r="L78" s="84">
        <v>1</v>
      </c>
      <c r="Q78" s="83"/>
    </row>
    <row r="79" spans="1:17" x14ac:dyDescent="0.25">
      <c r="A79" t="s">
        <v>988</v>
      </c>
      <c r="B79" s="85" t="s">
        <v>989</v>
      </c>
      <c r="C79" s="82" t="str">
        <f t="shared" si="2"/>
        <v>S-L4324:  4' 4-lamp TLED &lt;24W replacing 8' 2-lamp T8HO or T12HO, 12 Hour</v>
      </c>
      <c r="D79" s="87"/>
      <c r="I79" s="83">
        <v>17.5</v>
      </c>
      <c r="J79" s="71" t="s">
        <v>744</v>
      </c>
      <c r="K79" s="71" t="s">
        <v>990</v>
      </c>
      <c r="L79" s="84">
        <v>1</v>
      </c>
      <c r="Q79" s="83"/>
    </row>
    <row r="80" spans="1:17" x14ac:dyDescent="0.25">
      <c r="A80" t="s">
        <v>991</v>
      </c>
      <c r="B80" s="85" t="s">
        <v>992</v>
      </c>
      <c r="C80" s="82" t="str">
        <f t="shared" si="2"/>
        <v>S-L4328:  4' 2-lamp TLED &lt;24W replacing 8' 2-lamp T8 or T12, 24 Hour</v>
      </c>
      <c r="D80" s="87"/>
      <c r="I80" s="83">
        <v>27.5</v>
      </c>
      <c r="J80" s="71" t="s">
        <v>744</v>
      </c>
      <c r="K80" s="71" t="s">
        <v>993</v>
      </c>
      <c r="L80" s="84">
        <v>1</v>
      </c>
      <c r="Q80" s="83"/>
    </row>
    <row r="81" spans="1:17" x14ac:dyDescent="0.25">
      <c r="A81" t="s">
        <v>994</v>
      </c>
      <c r="B81" s="85" t="s">
        <v>995</v>
      </c>
      <c r="C81" s="82" t="str">
        <f t="shared" si="2"/>
        <v>S-L4327:  4' 2-lamp TLED &lt;24W replacing 8' 2-lamp T8 or T12, 12 Hour</v>
      </c>
      <c r="D81" s="87"/>
      <c r="I81" s="83">
        <v>27.5</v>
      </c>
      <c r="J81" s="71" t="s">
        <v>744</v>
      </c>
      <c r="K81" s="71" t="s">
        <v>996</v>
      </c>
      <c r="L81" s="84">
        <v>1</v>
      </c>
      <c r="Q81" s="83"/>
    </row>
    <row r="82" spans="1:17" x14ac:dyDescent="0.25">
      <c r="A82" t="s">
        <v>997</v>
      </c>
      <c r="B82" s="85" t="s">
        <v>998</v>
      </c>
      <c r="C82" s="82" t="str">
        <f t="shared" si="2"/>
        <v>S-L4331:  4' 2-lamp TLED &lt;24W replacing 8' 2-lamp T8HO or T12HO, 24 Hour</v>
      </c>
      <c r="D82" s="87"/>
      <c r="I82" s="83">
        <v>27.5</v>
      </c>
      <c r="J82" s="71" t="s">
        <v>744</v>
      </c>
      <c r="K82" s="71" t="s">
        <v>999</v>
      </c>
      <c r="L82" s="84">
        <v>1</v>
      </c>
      <c r="Q82" s="83"/>
    </row>
    <row r="83" spans="1:17" x14ac:dyDescent="0.25">
      <c r="A83" t="s">
        <v>1000</v>
      </c>
      <c r="B83" s="85" t="s">
        <v>1001</v>
      </c>
      <c r="C83" s="82" t="str">
        <f t="shared" si="2"/>
        <v>S-L4330:  4' 2-lamp TLED &lt;24W replacing 8' 2-lamp T8HO or T12HO, 12 Hour</v>
      </c>
      <c r="D83" s="87"/>
      <c r="I83" s="83">
        <v>27.5</v>
      </c>
      <c r="J83" s="71" t="s">
        <v>744</v>
      </c>
      <c r="K83" s="71" t="s">
        <v>1002</v>
      </c>
      <c r="L83" s="84">
        <v>1</v>
      </c>
      <c r="Q83" s="83"/>
    </row>
    <row r="84" spans="1:17" x14ac:dyDescent="0.25">
      <c r="A84" t="s">
        <v>1003</v>
      </c>
      <c r="B84" s="85" t="s">
        <v>1004</v>
      </c>
      <c r="C84" s="82" t="str">
        <f t="shared" si="2"/>
        <v>S-L4358:  LED fixtures/retrofit Kits upgrading existing equipment, fixture qty. modification, Exterior</v>
      </c>
      <c r="D84" s="87"/>
      <c r="I84" s="83">
        <v>0.45</v>
      </c>
      <c r="J84" s="71" t="s">
        <v>824</v>
      </c>
      <c r="K84" s="71" t="s">
        <v>1005</v>
      </c>
      <c r="L84" s="84">
        <v>1</v>
      </c>
      <c r="Q84" s="83"/>
    </row>
    <row r="85" spans="1:17" x14ac:dyDescent="0.25">
      <c r="A85" t="s">
        <v>1006</v>
      </c>
      <c r="B85" s="85" t="s">
        <v>897</v>
      </c>
      <c r="C85" s="82" t="str">
        <f t="shared" si="2"/>
        <v>S-L3963:  DLC listed, Mogul Screw-Base (E39) lamp replacing HID</v>
      </c>
      <c r="D85" s="87"/>
      <c r="I85" s="83">
        <v>0.3</v>
      </c>
      <c r="J85" s="71" t="s">
        <v>824</v>
      </c>
      <c r="K85" s="71" t="s">
        <v>1007</v>
      </c>
      <c r="L85" s="84">
        <v>1</v>
      </c>
      <c r="Q85" s="83"/>
    </row>
    <row r="86" spans="1:17" x14ac:dyDescent="0.25">
      <c r="A86" t="s">
        <v>1008</v>
      </c>
      <c r="B86" s="85" t="s">
        <v>1009</v>
      </c>
      <c r="C86" s="82" t="str">
        <f t="shared" si="2"/>
        <v>S-L3947:  ENERGY STAR LED with rated lumen output of 1,600-1,999 replacing or instead of incandescent or CFL</v>
      </c>
      <c r="D86" s="87"/>
      <c r="I86" s="83">
        <v>5</v>
      </c>
      <c r="J86" s="71" t="s">
        <v>853</v>
      </c>
      <c r="K86" s="71" t="s">
        <v>1010</v>
      </c>
      <c r="L86" s="84">
        <v>1</v>
      </c>
      <c r="Q86" s="83"/>
    </row>
    <row r="87" spans="1:17" x14ac:dyDescent="0.25">
      <c r="A87" t="s">
        <v>1011</v>
      </c>
      <c r="B87" s="85" t="s">
        <v>1012</v>
      </c>
      <c r="C87" s="82" t="str">
        <f t="shared" si="2"/>
        <v>S-L3948:  ENERGY STAR LED with rated lumen output of 1,100-1,599 replacing or instead of incandescent or CFL</v>
      </c>
      <c r="D87" s="87"/>
      <c r="I87" s="83">
        <v>4</v>
      </c>
      <c r="J87" s="71" t="s">
        <v>853</v>
      </c>
      <c r="K87" s="71" t="s">
        <v>1013</v>
      </c>
      <c r="L87" s="84">
        <v>1</v>
      </c>
      <c r="Q87" s="83"/>
    </row>
    <row r="88" spans="1:17" x14ac:dyDescent="0.25">
      <c r="A88" t="s">
        <v>1014</v>
      </c>
      <c r="B88" s="85" t="s">
        <v>1015</v>
      </c>
      <c r="C88" s="82" t="str">
        <f t="shared" si="2"/>
        <v>S-L3949:  ENERGY STAR LED with rated lumen output of 800-1,099 replacing or instead of incandescent or CFL</v>
      </c>
      <c r="D88" s="87"/>
      <c r="I88" s="83">
        <v>4</v>
      </c>
      <c r="J88" s="71" t="s">
        <v>853</v>
      </c>
      <c r="K88" s="71" t="s">
        <v>1016</v>
      </c>
      <c r="L88" s="84">
        <v>1</v>
      </c>
      <c r="Q88" s="83"/>
    </row>
    <row r="89" spans="1:17" x14ac:dyDescent="0.25">
      <c r="A89" t="s">
        <v>1017</v>
      </c>
      <c r="B89" s="85" t="s">
        <v>1018</v>
      </c>
      <c r="C89" s="82" t="str">
        <f t="shared" si="2"/>
        <v>S-L3950:  ENERGY STAR LED with rated lumen output of 450-799 replacing or instead of incandescent or CFL</v>
      </c>
      <c r="D89" s="87"/>
      <c r="I89" s="83">
        <v>3</v>
      </c>
      <c r="J89" s="71" t="s">
        <v>853</v>
      </c>
      <c r="K89" s="71" t="s">
        <v>1019</v>
      </c>
      <c r="L89" s="84">
        <v>1</v>
      </c>
      <c r="Q89" s="83"/>
    </row>
    <row r="90" spans="1:17" x14ac:dyDescent="0.25">
      <c r="A90" t="s">
        <v>1020</v>
      </c>
      <c r="B90" s="85" t="s">
        <v>1021</v>
      </c>
      <c r="C90" s="82" t="str">
        <f t="shared" si="2"/>
        <v>S-L3951:  ENERGY STAR LED with rated lumen output of 250-449 replacing or instead of incandescent or CFL</v>
      </c>
      <c r="D90" s="87"/>
      <c r="I90" s="83">
        <v>3</v>
      </c>
      <c r="J90" s="71" t="s">
        <v>853</v>
      </c>
      <c r="K90" s="71" t="s">
        <v>1022</v>
      </c>
      <c r="L90" s="84">
        <v>1</v>
      </c>
      <c r="Q90" s="83"/>
    </row>
    <row r="91" spans="1:17" x14ac:dyDescent="0.25">
      <c r="A91" t="s">
        <v>1023</v>
      </c>
      <c r="B91" s="85" t="s">
        <v>1024</v>
      </c>
      <c r="C91" s="82" t="str">
        <f t="shared" si="2"/>
        <v>S-L3935:  ENERGY STAR LED replacing incandescent 120W – 250W</v>
      </c>
      <c r="D91" s="87"/>
      <c r="I91" s="83">
        <v>7</v>
      </c>
      <c r="J91" s="71" t="s">
        <v>853</v>
      </c>
      <c r="K91" s="71" t="s">
        <v>1025</v>
      </c>
      <c r="L91" s="84">
        <v>1</v>
      </c>
      <c r="Q91" s="83"/>
    </row>
    <row r="92" spans="1:17" x14ac:dyDescent="0.25">
      <c r="A92" t="s">
        <v>1026</v>
      </c>
      <c r="B92" s="85" t="s">
        <v>1027</v>
      </c>
      <c r="C92" s="82" t="str">
        <f t="shared" si="2"/>
        <v>S-L3936:  ENERGY STAR LED replacing incandescent 100W – 119W</v>
      </c>
      <c r="D92" s="87"/>
      <c r="I92" s="83">
        <v>6</v>
      </c>
      <c r="J92" s="71" t="s">
        <v>853</v>
      </c>
      <c r="K92" s="71" t="s">
        <v>1028</v>
      </c>
      <c r="L92" s="84">
        <v>1</v>
      </c>
      <c r="Q92" s="83"/>
    </row>
    <row r="93" spans="1:17" x14ac:dyDescent="0.25">
      <c r="A93" t="s">
        <v>1029</v>
      </c>
      <c r="B93" s="85" t="s">
        <v>1030</v>
      </c>
      <c r="C93" s="82" t="str">
        <f t="shared" si="2"/>
        <v>S-L3937:  ENERGY STAR LED replacing incandescent 75W – 99W</v>
      </c>
      <c r="D93" s="87"/>
      <c r="I93" s="83">
        <v>5</v>
      </c>
      <c r="J93" s="71" t="s">
        <v>853</v>
      </c>
      <c r="K93" s="71" t="s">
        <v>1031</v>
      </c>
      <c r="L93" s="84">
        <v>1</v>
      </c>
      <c r="Q93" s="83"/>
    </row>
    <row r="94" spans="1:17" x14ac:dyDescent="0.25">
      <c r="A94" t="s">
        <v>1032</v>
      </c>
      <c r="B94" s="85" t="s">
        <v>1033</v>
      </c>
      <c r="C94" s="82" t="str">
        <f t="shared" si="2"/>
        <v>S-L3938:  ENERGY STAR LED replacing incandescent 55W – 74W</v>
      </c>
      <c r="D94" s="87"/>
      <c r="I94" s="83">
        <v>4</v>
      </c>
      <c r="J94" s="71" t="s">
        <v>853</v>
      </c>
      <c r="K94" s="71" t="s">
        <v>1034</v>
      </c>
      <c r="L94" s="84">
        <v>1</v>
      </c>
      <c r="Q94" s="83"/>
    </row>
    <row r="95" spans="1:17" x14ac:dyDescent="0.25">
      <c r="A95" t="s">
        <v>1035</v>
      </c>
      <c r="B95" s="85" t="s">
        <v>1036</v>
      </c>
      <c r="C95" s="82" t="str">
        <f t="shared" si="2"/>
        <v>S-L3939:  ENERGY STAR LED replacing incandescent 36W – 54W</v>
      </c>
      <c r="D95" s="87"/>
      <c r="I95" s="83">
        <v>4</v>
      </c>
      <c r="J95" s="71" t="s">
        <v>853</v>
      </c>
      <c r="K95" s="71" t="s">
        <v>1037</v>
      </c>
      <c r="L95" s="84">
        <v>1</v>
      </c>
      <c r="Q95" s="83"/>
    </row>
    <row r="96" spans="1:17" x14ac:dyDescent="0.25">
      <c r="A96" t="s">
        <v>1038</v>
      </c>
      <c r="B96" s="85" t="s">
        <v>1039</v>
      </c>
      <c r="C96" s="82" t="str">
        <f t="shared" si="2"/>
        <v>S-L3940:  ENERGY STAR LED replacing incandescent ≤ 35W</v>
      </c>
      <c r="D96" s="87"/>
      <c r="I96" s="83">
        <v>3</v>
      </c>
      <c r="J96" s="71" t="s">
        <v>853</v>
      </c>
      <c r="K96" s="71" t="s">
        <v>1040</v>
      </c>
      <c r="L96" s="84">
        <v>1</v>
      </c>
      <c r="Q96" s="83"/>
    </row>
    <row r="97" spans="1:17" x14ac:dyDescent="0.25">
      <c r="A97" t="s">
        <v>1041</v>
      </c>
      <c r="B97" s="85" t="s">
        <v>1042</v>
      </c>
      <c r="C97" s="82" t="str">
        <f t="shared" ref="C97:C117" si="3">IF(ISBLANK(A97),"",A97&amp;":  ") &amp;B97</f>
        <v>S-L3929:  ENERGY STAR LED replacing or instead of CFL ≥ 23W</v>
      </c>
      <c r="D97" s="87"/>
      <c r="I97" s="83">
        <v>1.75</v>
      </c>
      <c r="J97" s="71" t="s">
        <v>853</v>
      </c>
      <c r="K97" s="71" t="s">
        <v>1043</v>
      </c>
      <c r="L97" s="84">
        <v>1</v>
      </c>
      <c r="Q97" s="83"/>
    </row>
    <row r="98" spans="1:17" x14ac:dyDescent="0.25">
      <c r="A98" t="s">
        <v>1044</v>
      </c>
      <c r="B98" s="85" t="s">
        <v>1045</v>
      </c>
      <c r="C98" s="82" t="str">
        <f t="shared" si="3"/>
        <v>S-L3930:  ENERGY STAR LED replacing or instead of CFL 14W – 22W</v>
      </c>
      <c r="D98" s="87"/>
      <c r="I98" s="83">
        <v>1.5</v>
      </c>
      <c r="J98" s="71" t="s">
        <v>853</v>
      </c>
      <c r="K98" s="71" t="s">
        <v>1046</v>
      </c>
      <c r="L98" s="84">
        <v>1</v>
      </c>
      <c r="Q98" s="83"/>
    </row>
    <row r="99" spans="1:17" x14ac:dyDescent="0.25">
      <c r="A99" t="s">
        <v>1047</v>
      </c>
      <c r="B99" s="85" t="s">
        <v>1048</v>
      </c>
      <c r="C99" s="82" t="str">
        <f t="shared" si="3"/>
        <v>S-L3931:  ENERGY STAR LED replacing or instead of CFL ≤ 13W</v>
      </c>
      <c r="D99" s="87"/>
      <c r="I99" s="83">
        <v>1</v>
      </c>
      <c r="J99" s="71" t="s">
        <v>853</v>
      </c>
      <c r="K99" s="71" t="s">
        <v>1049</v>
      </c>
      <c r="L99" s="84">
        <v>1</v>
      </c>
      <c r="Q99" s="83"/>
    </row>
    <row r="100" spans="1:17" x14ac:dyDescent="0.25">
      <c r="A100" t="s">
        <v>1050</v>
      </c>
      <c r="B100" s="85" t="s">
        <v>1051</v>
      </c>
      <c r="C100" s="82" t="str">
        <f t="shared" si="3"/>
        <v>S-L4353:  24 Hour, LED Replacement of 4' T8 or T12 Lamp w/External Driver (UL Type C)</v>
      </c>
      <c r="D100" s="87"/>
      <c r="I100" s="83">
        <v>4.5</v>
      </c>
      <c r="J100" s="71" t="s">
        <v>853</v>
      </c>
      <c r="K100" s="71" t="s">
        <v>1052</v>
      </c>
      <c r="L100" s="84">
        <v>1</v>
      </c>
      <c r="Q100" s="83"/>
    </row>
    <row r="101" spans="1:17" x14ac:dyDescent="0.25">
      <c r="A101" t="s">
        <v>1053</v>
      </c>
      <c r="B101" s="85" t="s">
        <v>1054</v>
      </c>
      <c r="C101" s="82" t="str">
        <f t="shared" si="3"/>
        <v>S-L4351:  24 Hour, LED Replacement of 4' T8 or T12 Lamp, Direct Wire (UL Type B)</v>
      </c>
      <c r="D101" s="87"/>
      <c r="I101" s="83">
        <v>4</v>
      </c>
      <c r="J101" s="71" t="s">
        <v>853</v>
      </c>
      <c r="K101" s="71" t="s">
        <v>1055</v>
      </c>
      <c r="L101" s="84">
        <v>1</v>
      </c>
      <c r="Q101" s="83"/>
    </row>
    <row r="102" spans="1:17" x14ac:dyDescent="0.25">
      <c r="A102" t="s">
        <v>1056</v>
      </c>
      <c r="B102" s="85" t="s">
        <v>1057</v>
      </c>
      <c r="C102" s="82" t="str">
        <f t="shared" si="3"/>
        <v>S-L4349:  24 Hour, LED Replacement of 4' T8 Lamp Utilizing Existing Ballast (UL Type A)</v>
      </c>
      <c r="D102" s="87"/>
      <c r="I102" s="83">
        <v>3.5</v>
      </c>
      <c r="J102" s="71" t="s">
        <v>853</v>
      </c>
      <c r="K102" s="71" t="s">
        <v>1058</v>
      </c>
      <c r="L102" s="84">
        <v>1</v>
      </c>
      <c r="Q102" s="83"/>
    </row>
    <row r="103" spans="1:17" x14ac:dyDescent="0.25">
      <c r="A103" t="s">
        <v>1059</v>
      </c>
      <c r="B103" s="85" t="s">
        <v>1060</v>
      </c>
      <c r="C103" s="82" t="str">
        <f t="shared" si="3"/>
        <v>S-L4352:  Dusk to Dawn, Hour, LED Replacement of 4' T8 or T12 Lamp w/External Driver (UL Type C)</v>
      </c>
      <c r="D103" s="87"/>
      <c r="I103" s="83">
        <v>4.5</v>
      </c>
      <c r="J103" s="71" t="s">
        <v>853</v>
      </c>
      <c r="K103" s="71" t="s">
        <v>1061</v>
      </c>
      <c r="L103" s="84">
        <v>1</v>
      </c>
      <c r="Q103" s="83"/>
    </row>
    <row r="104" spans="1:17" x14ac:dyDescent="0.25">
      <c r="A104" t="s">
        <v>1062</v>
      </c>
      <c r="B104" s="85" t="s">
        <v>1063</v>
      </c>
      <c r="C104" s="82" t="str">
        <f t="shared" si="3"/>
        <v>S-L4350:  Dusk to Dawn, LED Replacement of 4' T8 or T12 Lamp, Direct Wire (UL Type B)</v>
      </c>
      <c r="D104" s="87"/>
      <c r="I104" s="83">
        <v>4</v>
      </c>
      <c r="J104" s="71" t="s">
        <v>853</v>
      </c>
      <c r="K104" s="71" t="s">
        <v>1064</v>
      </c>
      <c r="L104" s="84">
        <v>1</v>
      </c>
      <c r="Q104" s="83"/>
    </row>
    <row r="105" spans="1:17" x14ac:dyDescent="0.25">
      <c r="A105" t="s">
        <v>1065</v>
      </c>
      <c r="B105" s="85" t="s">
        <v>1066</v>
      </c>
      <c r="C105" s="82" t="str">
        <f t="shared" si="3"/>
        <v>S-L4348:  Dusk to Dawn, LED Replacement of 4' T8 Lamp Utilizing Existing Ballast (UL Type A)</v>
      </c>
      <c r="D105" s="87"/>
      <c r="I105" s="83">
        <v>3.5</v>
      </c>
      <c r="J105" s="71" t="s">
        <v>853</v>
      </c>
      <c r="K105" s="71" t="s">
        <v>1067</v>
      </c>
      <c r="L105" s="84">
        <v>1</v>
      </c>
      <c r="Q105" s="83"/>
    </row>
    <row r="106" spans="1:17" x14ac:dyDescent="0.25">
      <c r="B106" s="81" t="s">
        <v>1068</v>
      </c>
      <c r="C106" s="82" t="str">
        <f t="shared" si="3"/>
        <v>----------------------LIGHTING CATALOG: CONTROLS----------------------------</v>
      </c>
      <c r="D106" s="77"/>
      <c r="E106" s="77"/>
      <c r="F106" s="77"/>
      <c r="G106" s="77"/>
      <c r="H106" s="77"/>
      <c r="I106" s="83"/>
      <c r="J106" s="70"/>
      <c r="K106" s="70"/>
      <c r="L106" s="84"/>
      <c r="Q106" s="83"/>
    </row>
    <row r="107" spans="1:17" x14ac:dyDescent="0.25">
      <c r="A107" t="s">
        <v>1069</v>
      </c>
      <c r="B107" s="85" t="s">
        <v>1070</v>
      </c>
      <c r="C107" s="82" t="str">
        <f t="shared" si="3"/>
        <v>S-L3251:  Exterior and Parking Garage Bi-Level Controls, Dusk to Dawn</v>
      </c>
      <c r="D107" t="s">
        <v>1071</v>
      </c>
      <c r="E107" t="s">
        <v>1072</v>
      </c>
      <c r="F107" t="s">
        <v>1073</v>
      </c>
      <c r="I107" s="83">
        <v>35</v>
      </c>
      <c r="J107" s="71" t="s">
        <v>1074</v>
      </c>
      <c r="K107" s="71">
        <v>3251</v>
      </c>
      <c r="L107" s="84">
        <v>1</v>
      </c>
      <c r="Q107" s="83"/>
    </row>
    <row r="108" spans="1:17" x14ac:dyDescent="0.25">
      <c r="A108" t="s">
        <v>1075</v>
      </c>
      <c r="B108" s="85" t="s">
        <v>1076</v>
      </c>
      <c r="C108" s="82" t="str">
        <f t="shared" si="3"/>
        <v>S-L3252:  Parking Garage Bi-Level Controls, 24 Hour</v>
      </c>
      <c r="D108" t="s">
        <v>1071</v>
      </c>
      <c r="E108" t="s">
        <v>1072</v>
      </c>
      <c r="F108" t="s">
        <v>1073</v>
      </c>
      <c r="I108" s="83">
        <v>35</v>
      </c>
      <c r="J108" s="71" t="s">
        <v>1074</v>
      </c>
      <c r="K108" s="71">
        <v>3252</v>
      </c>
      <c r="L108" s="84">
        <v>1</v>
      </c>
      <c r="Q108" s="83"/>
    </row>
    <row r="109" spans="1:17" x14ac:dyDescent="0.25">
      <c r="A109" t="s">
        <v>1077</v>
      </c>
      <c r="B109" s="85" t="s">
        <v>1078</v>
      </c>
      <c r="C109" s="82" t="str">
        <f t="shared" si="3"/>
        <v>S-L3253:  Photocell with Internal Timer or Wireless Schedule</v>
      </c>
      <c r="D109" t="s">
        <v>1079</v>
      </c>
      <c r="E109" t="s">
        <v>1080</v>
      </c>
      <c r="F109" t="s">
        <v>1081</v>
      </c>
      <c r="G109" t="s">
        <v>1082</v>
      </c>
      <c r="H109" t="s">
        <v>1083</v>
      </c>
      <c r="I109" s="83">
        <v>35</v>
      </c>
      <c r="J109" s="71" t="s">
        <v>1074</v>
      </c>
      <c r="K109" s="71">
        <v>3253</v>
      </c>
      <c r="L109" s="84">
        <v>1</v>
      </c>
      <c r="Q109" s="83"/>
    </row>
    <row r="110" spans="1:17" x14ac:dyDescent="0.25">
      <c r="A110" t="s">
        <v>1084</v>
      </c>
      <c r="B110" s="85" t="s">
        <v>1085</v>
      </c>
      <c r="C110" s="82" t="str">
        <f t="shared" si="3"/>
        <v>S-L3406:  Daylighting Controls</v>
      </c>
      <c r="D110" t="s">
        <v>1086</v>
      </c>
      <c r="E110" t="s">
        <v>1087</v>
      </c>
      <c r="F110" t="s">
        <v>1088</v>
      </c>
      <c r="G110" t="s">
        <v>1089</v>
      </c>
      <c r="H110" t="s">
        <v>1090</v>
      </c>
      <c r="I110" s="83">
        <v>0.1</v>
      </c>
      <c r="J110" s="71" t="s">
        <v>1091</v>
      </c>
      <c r="K110" s="71">
        <v>3406</v>
      </c>
      <c r="L110" s="84">
        <v>1</v>
      </c>
      <c r="Q110" s="83"/>
    </row>
    <row r="111" spans="1:17" x14ac:dyDescent="0.25">
      <c r="A111" t="s">
        <v>1092</v>
      </c>
      <c r="B111" s="85" t="s">
        <v>1093</v>
      </c>
      <c r="C111" s="82" t="str">
        <f t="shared" si="3"/>
        <v>S-L3978:  High Bay On/Off Occupancy Sensor Control</v>
      </c>
      <c r="D111" t="s">
        <v>1094</v>
      </c>
      <c r="E111" t="s">
        <v>1095</v>
      </c>
      <c r="F111" t="s">
        <v>1096</v>
      </c>
      <c r="G111" t="s">
        <v>1097</v>
      </c>
      <c r="H111" t="s">
        <v>1098</v>
      </c>
      <c r="I111" s="83">
        <v>30</v>
      </c>
      <c r="J111" s="71" t="s">
        <v>1074</v>
      </c>
      <c r="K111" s="71">
        <v>3978</v>
      </c>
      <c r="L111" s="84">
        <v>1</v>
      </c>
      <c r="Q111" s="83"/>
    </row>
    <row r="112" spans="1:17" x14ac:dyDescent="0.25">
      <c r="A112" t="s">
        <v>1099</v>
      </c>
      <c r="B112" s="85" t="s">
        <v>1100</v>
      </c>
      <c r="C112" s="82" t="str">
        <f t="shared" si="3"/>
        <v>S-L3979:  High Bay Bi-Level Occupancy Control</v>
      </c>
      <c r="D112" t="s">
        <v>1094</v>
      </c>
      <c r="E112" t="s">
        <v>1095</v>
      </c>
      <c r="F112" t="s">
        <v>1096</v>
      </c>
      <c r="G112" t="s">
        <v>1097</v>
      </c>
      <c r="H112" t="s">
        <v>1101</v>
      </c>
      <c r="I112" s="83">
        <v>20</v>
      </c>
      <c r="J112" s="71" t="s">
        <v>1074</v>
      </c>
      <c r="K112" s="71">
        <v>3979</v>
      </c>
      <c r="L112" s="84">
        <v>1</v>
      </c>
      <c r="Q112" s="83"/>
    </row>
    <row r="113" spans="1:19" x14ac:dyDescent="0.25">
      <c r="A113" t="s">
        <v>1102</v>
      </c>
      <c r="B113" s="85" t="s">
        <v>1103</v>
      </c>
      <c r="C113" s="82" t="str">
        <f t="shared" si="3"/>
        <v>S-L4812:  Non-High Bay Occupancy/Vacancy Sensor</v>
      </c>
      <c r="I113" s="83">
        <v>0.1</v>
      </c>
      <c r="J113" s="71" t="s">
        <v>1091</v>
      </c>
      <c r="K113" s="71">
        <v>4812</v>
      </c>
      <c r="L113" s="84">
        <v>1</v>
      </c>
      <c r="Q113" s="83"/>
    </row>
    <row r="114" spans="1:19" x14ac:dyDescent="0.25">
      <c r="B114" s="81" t="s">
        <v>1104</v>
      </c>
      <c r="C114" s="82" t="str">
        <f t="shared" si="3"/>
        <v>-----------------------COMMERCIAL REFRIGERATION CATALOG: NON-SELF CONTAINED-----------------------</v>
      </c>
      <c r="I114" s="83"/>
      <c r="L114" s="84"/>
      <c r="P114" t="s">
        <v>1105</v>
      </c>
      <c r="Q114" t="s">
        <v>1106</v>
      </c>
      <c r="R114" t="s">
        <v>1107</v>
      </c>
    </row>
    <row r="115" spans="1:19" x14ac:dyDescent="0.25">
      <c r="A115" t="s">
        <v>1108</v>
      </c>
      <c r="B115" s="81" t="s">
        <v>1109</v>
      </c>
      <c r="C115" s="82" t="str">
        <f t="shared" si="3"/>
        <v>S-R2236:  Case Door, Cooler, No-Heat</v>
      </c>
      <c r="I115" s="83">
        <v>9</v>
      </c>
      <c r="J115" s="71" t="s">
        <v>1110</v>
      </c>
      <c r="K115" s="71">
        <v>2236</v>
      </c>
      <c r="L115" s="84">
        <v>1</v>
      </c>
      <c r="M115">
        <f>VLOOKUP($K115,'Refrig Measure Savings'!$A$3:$H$82,5,FALSE)</f>
        <v>1.6E-2</v>
      </c>
      <c r="N115">
        <f>VLOOKUP($K115,'Refrig Measure Savings'!$A$3:$H$82,6,FALSE)</f>
        <v>138</v>
      </c>
      <c r="O115">
        <f>VLOOKUP($K115,'Refrig Measure Savings'!$A$3:$H$82,8,FALSE)</f>
        <v>0</v>
      </c>
      <c r="P115" t="str">
        <f t="shared" ref="P115:P117" si="4">A115</f>
        <v>S-R2236</v>
      </c>
      <c r="Q115" t="s">
        <v>1111</v>
      </c>
    </row>
    <row r="116" spans="1:19" x14ac:dyDescent="0.25">
      <c r="A116" t="s">
        <v>1112</v>
      </c>
      <c r="B116" s="81" t="s">
        <v>1113</v>
      </c>
      <c r="C116" s="82" t="str">
        <f t="shared" si="3"/>
        <v>S-R2234:  Case Door, Freezer, Low-Heat</v>
      </c>
      <c r="I116" s="83">
        <v>50</v>
      </c>
      <c r="J116" s="71" t="s">
        <v>1110</v>
      </c>
      <c r="K116" s="71">
        <v>2234</v>
      </c>
      <c r="L116" s="84">
        <v>1</v>
      </c>
      <c r="M116">
        <f>VLOOKUP($K116,'Refrig Measure Savings'!$A$3:$H$82,5,FALSE)</f>
        <v>0.1</v>
      </c>
      <c r="N116">
        <f>VLOOKUP($K116,'Refrig Measure Savings'!$A$3:$H$82,6,FALSE)</f>
        <v>886</v>
      </c>
      <c r="O116">
        <f>VLOOKUP($K116,'Refrig Measure Savings'!$A$3:$H$82,8,FALSE)</f>
        <v>0</v>
      </c>
      <c r="P116" t="str">
        <f t="shared" si="4"/>
        <v>S-R2234</v>
      </c>
      <c r="Q116" t="s">
        <v>1111</v>
      </c>
    </row>
    <row r="117" spans="1:19" x14ac:dyDescent="0.25">
      <c r="A117" t="s">
        <v>1114</v>
      </c>
      <c r="B117" s="81" t="s">
        <v>1115</v>
      </c>
      <c r="C117" s="82" t="str">
        <f t="shared" si="3"/>
        <v>S-R2235:  Case Door, Freezer, No-Heat</v>
      </c>
      <c r="I117" s="83">
        <v>125</v>
      </c>
      <c r="J117" s="71" t="s">
        <v>1110</v>
      </c>
      <c r="K117" s="71">
        <v>2235</v>
      </c>
      <c r="L117" s="84">
        <v>1</v>
      </c>
      <c r="M117">
        <f>VLOOKUP($K117,'Refrig Measure Savings'!$A$3:$H$82,5,FALSE)</f>
        <v>0.23</v>
      </c>
      <c r="N117">
        <f>VLOOKUP($K117,'Refrig Measure Savings'!$A$3:$H$82,6,FALSE)</f>
        <v>2057</v>
      </c>
      <c r="O117">
        <f>VLOOKUP($K117,'Refrig Measure Savings'!$A$3:$H$82,8,FALSE)</f>
        <v>0</v>
      </c>
      <c r="P117" t="str">
        <f t="shared" si="4"/>
        <v>S-R2235</v>
      </c>
      <c r="Q117" t="s">
        <v>1111</v>
      </c>
    </row>
    <row r="118" spans="1:19" x14ac:dyDescent="0.25">
      <c r="A118" t="s">
        <v>1116</v>
      </c>
      <c r="B118" s="85" t="s">
        <v>1117</v>
      </c>
      <c r="C118" s="82" t="str">
        <f t="shared" ref="C118:C149" si="5">IF(ISBLANK(A118),"",A118&amp;":  ") &amp;B118</f>
        <v>S-R2308:  ECM Evaporator Fan Motor, Walk-In Cooler, &lt; 1/20 hp</v>
      </c>
      <c r="D118" t="s">
        <v>1118</v>
      </c>
      <c r="E118" t="s">
        <v>1119</v>
      </c>
      <c r="F118" t="s">
        <v>1120</v>
      </c>
      <c r="G118" t="s">
        <v>1121</v>
      </c>
      <c r="I118" s="83">
        <v>65</v>
      </c>
      <c r="J118" s="71" t="s">
        <v>1122</v>
      </c>
      <c r="K118" s="71">
        <v>2308</v>
      </c>
      <c r="L118" s="84">
        <v>1</v>
      </c>
      <c r="M118">
        <f>VLOOKUP($K118,'Refrig Measure Savings'!$A$3:$H$82,5,FALSE)</f>
        <v>7.0000000000000007E-2</v>
      </c>
      <c r="N118">
        <f>VLOOKUP($K118,'Refrig Measure Savings'!$A$3:$H$82,6,FALSE)</f>
        <v>613</v>
      </c>
      <c r="O118">
        <f>VLOOKUP($K118,'Refrig Measure Savings'!$A$3:$H$82,8,FALSE)</f>
        <v>0</v>
      </c>
      <c r="P118" t="str">
        <f>A118</f>
        <v>S-R2308</v>
      </c>
      <c r="Q118" t="s">
        <v>1123</v>
      </c>
      <c r="R118">
        <f>1/40</f>
        <v>2.5000000000000001E-2</v>
      </c>
    </row>
    <row r="119" spans="1:19" x14ac:dyDescent="0.25">
      <c r="A119" t="s">
        <v>1124</v>
      </c>
      <c r="B119" s="85" t="s">
        <v>1125</v>
      </c>
      <c r="C119" s="82" t="str">
        <f t="shared" si="5"/>
        <v>S-R2309:  ECM Evaporator Fan Motor, Walk-In Cooler, 1/20 - 1 hp</v>
      </c>
      <c r="D119" t="s">
        <v>1118</v>
      </c>
      <c r="E119" t="s">
        <v>1119</v>
      </c>
      <c r="F119" t="s">
        <v>1120</v>
      </c>
      <c r="G119" t="s">
        <v>1121</v>
      </c>
      <c r="I119" s="83">
        <v>150</v>
      </c>
      <c r="J119" s="71" t="s">
        <v>1122</v>
      </c>
      <c r="K119" s="71">
        <v>2309</v>
      </c>
      <c r="L119" s="84">
        <v>1</v>
      </c>
      <c r="M119">
        <f>VLOOKUP($K119,'Refrig Measure Savings'!$A$3:$H$82,5,FALSE)</f>
        <v>0.2</v>
      </c>
      <c r="N119">
        <f>VLOOKUP($K119,'Refrig Measure Savings'!$A$3:$H$82,6,FALSE)</f>
        <v>1752</v>
      </c>
      <c r="O119">
        <f>VLOOKUP($K119,'Refrig Measure Savings'!$A$3:$H$82,8,FALSE)</f>
        <v>0</v>
      </c>
      <c r="P119" t="str">
        <f t="shared" ref="P119:P124" si="6">A119</f>
        <v>S-R2309</v>
      </c>
      <c r="Q119" t="s">
        <v>1123</v>
      </c>
      <c r="R119">
        <f>1/15</f>
        <v>6.6666666666666666E-2</v>
      </c>
    </row>
    <row r="120" spans="1:19" x14ac:dyDescent="0.25">
      <c r="A120" t="s">
        <v>1126</v>
      </c>
      <c r="B120" s="85" t="s">
        <v>1127</v>
      </c>
      <c r="C120" s="82" t="str">
        <f t="shared" si="5"/>
        <v>S-R2310:  ECM Evaporator Fan Motor, Walk-In Freezer, &lt; 1/20 hp</v>
      </c>
      <c r="D120" t="s">
        <v>1118</v>
      </c>
      <c r="E120" t="s">
        <v>1119</v>
      </c>
      <c r="F120" t="s">
        <v>1120</v>
      </c>
      <c r="G120" t="s">
        <v>1121</v>
      </c>
      <c r="I120" s="83">
        <v>90</v>
      </c>
      <c r="J120" s="71" t="s">
        <v>1122</v>
      </c>
      <c r="K120" s="71">
        <v>2310</v>
      </c>
      <c r="L120" s="84">
        <v>1</v>
      </c>
      <c r="M120">
        <f>VLOOKUP($K120,'Refrig Measure Savings'!$A$3:$H$82,5,FALSE)</f>
        <v>0.1</v>
      </c>
      <c r="N120">
        <f>VLOOKUP($K120,'Refrig Measure Savings'!$A$3:$H$82,6,FALSE)</f>
        <v>827</v>
      </c>
      <c r="O120">
        <f>VLOOKUP($K120,'Refrig Measure Savings'!$A$3:$H$82,8,FALSE)</f>
        <v>0</v>
      </c>
      <c r="P120" t="str">
        <f t="shared" si="6"/>
        <v>S-R2310</v>
      </c>
      <c r="Q120" t="s">
        <v>1123</v>
      </c>
      <c r="R120">
        <f>1/35</f>
        <v>2.8571428571428571E-2</v>
      </c>
    </row>
    <row r="121" spans="1:19" x14ac:dyDescent="0.25">
      <c r="A121" t="s">
        <v>1128</v>
      </c>
      <c r="B121" s="85" t="s">
        <v>1129</v>
      </c>
      <c r="C121" s="82" t="str">
        <f t="shared" si="5"/>
        <v>S-R2311:  ECM Evaporator Fan Motor, Walk-In Freezer, 1/20 - 1 hp</v>
      </c>
      <c r="D121" t="s">
        <v>1118</v>
      </c>
      <c r="E121" t="s">
        <v>1119</v>
      </c>
      <c r="F121" t="s">
        <v>1120</v>
      </c>
      <c r="G121" t="s">
        <v>1121</v>
      </c>
      <c r="I121" s="83">
        <v>150</v>
      </c>
      <c r="J121" s="71" t="s">
        <v>1122</v>
      </c>
      <c r="K121" s="71">
        <v>2311</v>
      </c>
      <c r="L121" s="84">
        <v>1</v>
      </c>
      <c r="M121">
        <f>VLOOKUP($K121,'Refrig Measure Savings'!$A$3:$H$82,5,FALSE)</f>
        <v>0.27</v>
      </c>
      <c r="N121">
        <f>VLOOKUP($K121,'Refrig Measure Savings'!$A$3:$H$82,6,FALSE)</f>
        <v>2234</v>
      </c>
      <c r="O121">
        <f>VLOOKUP($K121,'Refrig Measure Savings'!$A$3:$H$82,8,FALSE)</f>
        <v>0</v>
      </c>
      <c r="P121" t="str">
        <f t="shared" si="6"/>
        <v>S-R2311</v>
      </c>
      <c r="Q121" t="s">
        <v>1123</v>
      </c>
      <c r="R121">
        <f>1/13</f>
        <v>7.6923076923076927E-2</v>
      </c>
    </row>
    <row r="122" spans="1:19" x14ac:dyDescent="0.25">
      <c r="A122" t="s">
        <v>1130</v>
      </c>
      <c r="B122" s="85" t="s">
        <v>1131</v>
      </c>
      <c r="C122" s="82" t="str">
        <f t="shared" si="5"/>
        <v>S-R2312:  ECM Motor, Cooler/Freezer Case</v>
      </c>
      <c r="D122" t="s">
        <v>1118</v>
      </c>
      <c r="E122" t="s">
        <v>1132</v>
      </c>
      <c r="F122" t="s">
        <v>1133</v>
      </c>
      <c r="G122" t="s">
        <v>1121</v>
      </c>
      <c r="I122" s="83">
        <v>100</v>
      </c>
      <c r="J122" s="71" t="s">
        <v>1122</v>
      </c>
      <c r="K122" s="71">
        <v>2312</v>
      </c>
      <c r="L122" s="84">
        <v>1</v>
      </c>
      <c r="M122">
        <f>VLOOKUP($K122,'Refrig Measure Savings'!$A$3:$H$82,5,FALSE)</f>
        <v>0.11600000000000001</v>
      </c>
      <c r="N122">
        <f>VLOOKUP($K122,'Refrig Measure Savings'!$A$3:$H$82,6,FALSE)</f>
        <v>992</v>
      </c>
      <c r="O122">
        <f>VLOOKUP($K122,'Refrig Measure Savings'!$A$3:$H$82,8,FALSE)</f>
        <v>0</v>
      </c>
      <c r="P122" t="str">
        <f t="shared" si="6"/>
        <v>S-R2312</v>
      </c>
      <c r="Q122" t="s">
        <v>1123</v>
      </c>
      <c r="R122">
        <f>1/29</f>
        <v>3.4482758620689655E-2</v>
      </c>
    </row>
    <row r="123" spans="1:19" x14ac:dyDescent="0.25">
      <c r="A123" t="s">
        <v>1134</v>
      </c>
      <c r="B123" s="85" t="s">
        <v>1135</v>
      </c>
      <c r="C123" s="82" t="str">
        <f t="shared" si="5"/>
        <v>S-R4284:  Permanent Magnet Synchronous Motor, Cooler/Freezer Case</v>
      </c>
      <c r="D123" s="87"/>
      <c r="I123" s="83">
        <v>75</v>
      </c>
      <c r="J123" s="71" t="s">
        <v>1122</v>
      </c>
      <c r="K123" s="71">
        <v>4284</v>
      </c>
      <c r="L123" s="84">
        <v>1</v>
      </c>
      <c r="M123">
        <f>VLOOKUP($K123,'Refrig Measure Savings'!$A$3:$H$82,5,FALSE)</f>
        <v>0.122</v>
      </c>
      <c r="N123">
        <f>VLOOKUP($K123,'Refrig Measure Savings'!$A$3:$H$82,6,FALSE)</f>
        <v>1036</v>
      </c>
      <c r="O123">
        <f>VLOOKUP($K123,'Refrig Measure Savings'!$A$3:$H$82,8,FALSE)</f>
        <v>0</v>
      </c>
      <c r="P123" t="str">
        <f t="shared" si="6"/>
        <v>S-R4284</v>
      </c>
      <c r="Q123" t="s">
        <v>1111</v>
      </c>
    </row>
    <row r="124" spans="1:19" x14ac:dyDescent="0.25">
      <c r="A124" t="s">
        <v>1136</v>
      </c>
      <c r="B124" s="85" t="s">
        <v>1137</v>
      </c>
      <c r="C124" s="82" t="str">
        <f t="shared" si="5"/>
        <v>S-R2306:  ECM Compressor Fan Motor</v>
      </c>
      <c r="D124" t="s">
        <v>1118</v>
      </c>
      <c r="E124" t="s">
        <v>1138</v>
      </c>
      <c r="F124" t="s">
        <v>1139</v>
      </c>
      <c r="I124" s="83">
        <v>60</v>
      </c>
      <c r="J124" s="71" t="s">
        <v>1122</v>
      </c>
      <c r="K124" s="71">
        <v>2306</v>
      </c>
      <c r="L124" s="84">
        <v>1</v>
      </c>
      <c r="M124">
        <f>VLOOKUP($K124,'Refrig Measure Savings'!$A$3:$H$82,5,FALSE)</f>
        <v>8.3000000000000004E-2</v>
      </c>
      <c r="N124">
        <f>VLOOKUP($K124,'Refrig Measure Savings'!$A$3:$H$82,6,FALSE)</f>
        <v>519</v>
      </c>
      <c r="O124">
        <f>VLOOKUP($K124,'Refrig Measure Savings'!$A$3:$H$82,8,FALSE)</f>
        <v>0</v>
      </c>
      <c r="P124" t="str">
        <f t="shared" si="6"/>
        <v>S-R2306</v>
      </c>
      <c r="Q124" t="s">
        <v>1123</v>
      </c>
      <c r="R124">
        <f>1/8</f>
        <v>0.125</v>
      </c>
      <c r="S124" t="s">
        <v>1140</v>
      </c>
    </row>
    <row r="125" spans="1:19" x14ac:dyDescent="0.25">
      <c r="A125" t="s">
        <v>1141</v>
      </c>
      <c r="B125" s="85" t="s">
        <v>1142</v>
      </c>
      <c r="C125" s="82" t="str">
        <f t="shared" si="5"/>
        <v>S-R2307:  ECM Condenser / Condensing Unit Fan Motor</v>
      </c>
      <c r="D125" t="s">
        <v>1118</v>
      </c>
      <c r="E125" t="s">
        <v>1138</v>
      </c>
      <c r="F125" t="s">
        <v>1139</v>
      </c>
      <c r="I125" s="83">
        <v>60</v>
      </c>
      <c r="J125" s="71" t="s">
        <v>1122</v>
      </c>
      <c r="K125" s="71">
        <v>2307</v>
      </c>
      <c r="L125" s="84">
        <v>1</v>
      </c>
      <c r="M125">
        <f>VLOOKUP($K125,'Refrig Measure Savings'!$A$3:$H$82,5,FALSE)</f>
        <v>8.3000000000000004E-2</v>
      </c>
      <c r="N125">
        <f>VLOOKUP($K125,'Refrig Measure Savings'!$A$3:$H$82,6,FALSE)</f>
        <v>519</v>
      </c>
      <c r="O125">
        <f>VLOOKUP($K125,'Refrig Measure Savings'!$A$3:$H$82,8,FALSE)</f>
        <v>0</v>
      </c>
      <c r="P125" t="str">
        <f t="shared" ref="P125:P184" si="7">A125</f>
        <v>S-R2307</v>
      </c>
      <c r="Q125" t="s">
        <v>1123</v>
      </c>
      <c r="R125">
        <f>1/8</f>
        <v>0.125</v>
      </c>
      <c r="S125" t="s">
        <v>1143</v>
      </c>
    </row>
    <row r="126" spans="1:19" x14ac:dyDescent="0.25">
      <c r="A126" t="s">
        <v>1144</v>
      </c>
      <c r="B126" s="85" t="s">
        <v>1145</v>
      </c>
      <c r="C126" s="82" t="str">
        <f t="shared" si="5"/>
        <v>S-R3114:  LED, Horizontal Case Lighting, replacing or instead of Linear Fluorescent</v>
      </c>
      <c r="D126" t="s">
        <v>1146</v>
      </c>
      <c r="E126" t="s">
        <v>1147</v>
      </c>
      <c r="F126" t="s">
        <v>1148</v>
      </c>
      <c r="G126" t="s">
        <v>1149</v>
      </c>
      <c r="H126" t="s">
        <v>1150</v>
      </c>
      <c r="I126" s="83">
        <v>10</v>
      </c>
      <c r="J126" s="71" t="s">
        <v>1151</v>
      </c>
      <c r="K126" s="71">
        <v>3114</v>
      </c>
      <c r="L126" s="84">
        <v>1</v>
      </c>
      <c r="M126">
        <f>VLOOKUP($K126,'Refrig Measure Savings'!$A$3:$H$82,5,FALSE)</f>
        <v>1.4999999999999999E-2</v>
      </c>
      <c r="N126">
        <f>VLOOKUP($K126,'Refrig Measure Savings'!$A$3:$H$82,6,FALSE)</f>
        <v>134</v>
      </c>
      <c r="O126">
        <f>VLOOKUP($K126,'Refrig Measure Savings'!$A$3:$H$82,8,FALSE)</f>
        <v>0</v>
      </c>
      <c r="P126" t="str">
        <f t="shared" si="7"/>
        <v>S-R3114</v>
      </c>
      <c r="Q126" t="s">
        <v>1111</v>
      </c>
    </row>
    <row r="127" spans="1:19" x14ac:dyDescent="0.25">
      <c r="A127" t="s">
        <v>1152</v>
      </c>
      <c r="B127" s="85" t="s">
        <v>1153</v>
      </c>
      <c r="C127" s="82" t="str">
        <f t="shared" si="5"/>
        <v>S-R2456:  LED, Vertical Case Lighting, replacing or instead of Linear Fluorescent</v>
      </c>
      <c r="D127" t="s">
        <v>1146</v>
      </c>
      <c r="E127" t="s">
        <v>1147</v>
      </c>
      <c r="F127" t="s">
        <v>1148</v>
      </c>
      <c r="G127" t="s">
        <v>1154</v>
      </c>
      <c r="H127" t="s">
        <v>1155</v>
      </c>
      <c r="I127" s="83">
        <v>50</v>
      </c>
      <c r="J127" s="71" t="s">
        <v>744</v>
      </c>
      <c r="K127" s="71">
        <v>2456</v>
      </c>
      <c r="L127" s="84">
        <v>1</v>
      </c>
      <c r="M127">
        <f>VLOOKUP($K127,'Refrig Measure Savings'!$A$3:$H$82,5,FALSE)</f>
        <v>7.3999999999999996E-2</v>
      </c>
      <c r="N127">
        <f>VLOOKUP($K127,'Refrig Measure Savings'!$A$3:$H$82,6,FALSE)</f>
        <v>650</v>
      </c>
      <c r="O127">
        <f>VLOOKUP($K127,'Refrig Measure Savings'!$A$3:$H$82,8,FALSE)</f>
        <v>0</v>
      </c>
      <c r="P127" t="str">
        <f t="shared" si="7"/>
        <v>S-R2456</v>
      </c>
      <c r="Q127" t="s">
        <v>1111</v>
      </c>
    </row>
    <row r="128" spans="1:19" x14ac:dyDescent="0.25">
      <c r="A128" t="s">
        <v>1156</v>
      </c>
      <c r="B128" s="81" t="s">
        <v>1157</v>
      </c>
      <c r="C128" s="82" t="str">
        <f t="shared" si="5"/>
        <v>S-R2509:  Reach-In Refrigerated Case w/ Doors replacing or instead of Open Multideck Case</v>
      </c>
      <c r="D128" t="s">
        <v>1158</v>
      </c>
      <c r="E128" t="s">
        <v>1159</v>
      </c>
      <c r="F128" t="s">
        <v>1160</v>
      </c>
      <c r="G128" t="s">
        <v>1161</v>
      </c>
      <c r="H128" t="s">
        <v>1162</v>
      </c>
      <c r="I128" s="83">
        <v>200</v>
      </c>
      <c r="J128" s="71" t="s">
        <v>1163</v>
      </c>
      <c r="K128" s="71">
        <v>2509</v>
      </c>
      <c r="L128" s="84">
        <v>1</v>
      </c>
      <c r="M128">
        <f>VLOOKUP($K128,'Refrig Measure Savings'!$A$3:$H$82,5,FALSE)</f>
        <v>0.17899999999999999</v>
      </c>
      <c r="N128">
        <f>VLOOKUP($K128,'Refrig Measure Savings'!$A$3:$H$82,6,FALSE)</f>
        <v>976</v>
      </c>
      <c r="O128">
        <f>VLOOKUP($K128,'Refrig Measure Savings'!$A$3:$H$82,8,FALSE)</f>
        <v>113</v>
      </c>
      <c r="P128" t="str">
        <f t="shared" si="7"/>
        <v>S-R2509</v>
      </c>
      <c r="Q128" t="s">
        <v>1111</v>
      </c>
    </row>
    <row r="129" spans="1:17" x14ac:dyDescent="0.25">
      <c r="A129" t="s">
        <v>1164</v>
      </c>
      <c r="B129" s="85" t="s">
        <v>1165</v>
      </c>
      <c r="C129" s="82" t="str">
        <f t="shared" si="5"/>
        <v>S-R3409:  Retrofit Open Refrigerated Cases with Doors (or new multideck case w/ doors for BIP)</v>
      </c>
      <c r="D129" t="s">
        <v>1166</v>
      </c>
      <c r="E129" t="s">
        <v>1167</v>
      </c>
      <c r="F129" t="s">
        <v>1168</v>
      </c>
      <c r="G129" t="s">
        <v>1169</v>
      </c>
      <c r="H129" t="s">
        <v>1170</v>
      </c>
      <c r="I129" s="83">
        <v>100</v>
      </c>
      <c r="J129" s="71" t="s">
        <v>1163</v>
      </c>
      <c r="K129" s="71">
        <v>3409</v>
      </c>
      <c r="L129" s="84">
        <v>1</v>
      </c>
      <c r="M129">
        <f>VLOOKUP($K129,'Refrig Measure Savings'!$A$3:$H$82,5,FALSE)</f>
        <v>0.13100000000000001</v>
      </c>
      <c r="N129">
        <f>VLOOKUP($K129,'Refrig Measure Savings'!$A$3:$H$82,6,FALSE)</f>
        <v>711</v>
      </c>
      <c r="O129">
        <f>VLOOKUP($K129,'Refrig Measure Savings'!$A$3:$H$82,8,FALSE)</f>
        <v>82</v>
      </c>
      <c r="P129" t="str">
        <f t="shared" si="7"/>
        <v>S-R3409</v>
      </c>
      <c r="Q129" t="s">
        <v>1111</v>
      </c>
    </row>
    <row r="130" spans="1:17" x14ac:dyDescent="0.25">
      <c r="A130" t="s">
        <v>1171</v>
      </c>
      <c r="B130" s="85" t="s">
        <v>1172</v>
      </c>
      <c r="C130" s="82" t="str">
        <f t="shared" si="5"/>
        <v>S-R2271:  Cooler Night Curtains, Open Multudeck-Style Cases</v>
      </c>
      <c r="D130" t="s">
        <v>1173</v>
      </c>
      <c r="E130" t="s">
        <v>1174</v>
      </c>
      <c r="F130" t="s">
        <v>1175</v>
      </c>
      <c r="G130" t="s">
        <v>1176</v>
      </c>
      <c r="H130" t="s">
        <v>1177</v>
      </c>
      <c r="I130" s="83">
        <v>15</v>
      </c>
      <c r="J130" s="71" t="s">
        <v>1163</v>
      </c>
      <c r="K130" s="71">
        <v>2271</v>
      </c>
      <c r="L130" s="84">
        <v>1</v>
      </c>
      <c r="M130">
        <f>VLOOKUP($K130,'Refrig Measure Savings'!$A$3:$H$82,5,FALSE)</f>
        <v>0</v>
      </c>
      <c r="N130">
        <f>VLOOKUP($K130,'Refrig Measure Savings'!$A$3:$H$82,6,FALSE)</f>
        <v>903</v>
      </c>
      <c r="O130">
        <f>VLOOKUP($K130,'Refrig Measure Savings'!$A$3:$H$82,8,FALSE)</f>
        <v>0</v>
      </c>
      <c r="P130" t="str">
        <f t="shared" si="7"/>
        <v>S-R2271</v>
      </c>
      <c r="Q130" t="s">
        <v>1111</v>
      </c>
    </row>
    <row r="131" spans="1:17" x14ac:dyDescent="0.25">
      <c r="A131" t="s">
        <v>1178</v>
      </c>
      <c r="B131" s="85" t="s">
        <v>1179</v>
      </c>
      <c r="C131" s="82" t="str">
        <f t="shared" si="5"/>
        <v>S-R3183:  Strip Curtain, Walk-In Freezers and Coolers</v>
      </c>
      <c r="D131" t="s">
        <v>1180</v>
      </c>
      <c r="E131" t="s">
        <v>1181</v>
      </c>
      <c r="F131" t="s">
        <v>1182</v>
      </c>
      <c r="G131" t="s">
        <v>1183</v>
      </c>
      <c r="H131" t="s">
        <v>1184</v>
      </c>
      <c r="I131" s="83">
        <v>15</v>
      </c>
      <c r="J131" s="71" t="s">
        <v>1163</v>
      </c>
      <c r="K131" s="71">
        <v>3183</v>
      </c>
      <c r="L131" s="84">
        <v>1</v>
      </c>
      <c r="M131">
        <f>VLOOKUP($K131,'Refrig Measure Savings'!$A$3:$H$82,5,FALSE)</f>
        <v>3.5999999999999997E-2</v>
      </c>
      <c r="N131">
        <f>VLOOKUP($K131,'Refrig Measure Savings'!$A$3:$H$82,6,FALSE)</f>
        <v>315</v>
      </c>
      <c r="O131">
        <f>VLOOKUP($K131,'Refrig Measure Savings'!$A$3:$H$82,8,FALSE)</f>
        <v>0</v>
      </c>
      <c r="P131" t="str">
        <f t="shared" si="7"/>
        <v>S-R3183</v>
      </c>
      <c r="Q131" t="s">
        <v>1111</v>
      </c>
    </row>
    <row r="132" spans="1:17" x14ac:dyDescent="0.25">
      <c r="B132" s="81" t="s">
        <v>1185</v>
      </c>
      <c r="C132" s="82" t="str">
        <f t="shared" si="5"/>
        <v>-----------------------COMMERCIAL REFRIGERATION CATALOG: SELF CONTAINED-----------------------</v>
      </c>
      <c r="I132" s="83"/>
      <c r="J132" s="70"/>
      <c r="K132" s="70"/>
      <c r="L132" s="70"/>
    </row>
    <row r="133" spans="1:17" x14ac:dyDescent="0.25">
      <c r="A133" t="s">
        <v>1186</v>
      </c>
      <c r="B133" s="85" t="s">
        <v>1187</v>
      </c>
      <c r="C133" s="82" t="str">
        <f t="shared" si="5"/>
        <v>S-R2521:  Refrigerator, Chest, Glass Door, &lt;15 cu ft, ENERGY STAR</v>
      </c>
      <c r="D133" t="s">
        <v>1188</v>
      </c>
      <c r="E133" t="s">
        <v>1189</v>
      </c>
      <c r="F133" t="s">
        <v>1190</v>
      </c>
      <c r="G133" t="s">
        <v>1191</v>
      </c>
      <c r="I133" s="83">
        <v>50</v>
      </c>
      <c r="J133" s="71" t="s">
        <v>1192</v>
      </c>
      <c r="K133">
        <v>2521</v>
      </c>
      <c r="L133" s="84">
        <v>1</v>
      </c>
      <c r="M133">
        <f>VLOOKUP($K133,'Refrig Measure Savings'!$A$3:$H$82,5,FALSE)</f>
        <v>7.0000000000000001E-3</v>
      </c>
      <c r="N133">
        <f>VLOOKUP($K133,'Refrig Measure Savings'!$A$3:$H$82,6,FALSE)</f>
        <v>60</v>
      </c>
      <c r="O133">
        <f>VLOOKUP($K133,'Refrig Measure Savings'!$A$3:$H$82,8,FALSE)</f>
        <v>0</v>
      </c>
      <c r="P133" t="str">
        <f t="shared" si="7"/>
        <v>S-R2521</v>
      </c>
      <c r="Q133" t="s">
        <v>1111</v>
      </c>
    </row>
    <row r="134" spans="1:17" x14ac:dyDescent="0.25">
      <c r="A134" t="s">
        <v>1193</v>
      </c>
      <c r="B134" s="85" t="s">
        <v>1194</v>
      </c>
      <c r="C134" s="82" t="str">
        <f t="shared" si="5"/>
        <v>S-R2522:  Refrigerator, Chest, Glass Door, 15-29 cu ft, ENERGY STAR</v>
      </c>
      <c r="D134" t="s">
        <v>1188</v>
      </c>
      <c r="E134" t="s">
        <v>1189</v>
      </c>
      <c r="F134" t="s">
        <v>1190</v>
      </c>
      <c r="G134" t="s">
        <v>1191</v>
      </c>
      <c r="I134" s="83">
        <v>70</v>
      </c>
      <c r="J134" s="71" t="s">
        <v>1192</v>
      </c>
      <c r="K134">
        <v>2522</v>
      </c>
      <c r="L134" s="84">
        <v>1</v>
      </c>
      <c r="M134">
        <f>VLOOKUP($K134,'Refrig Measure Savings'!$A$3:$H$82,5,FALSE)</f>
        <v>1.2999999999999999E-2</v>
      </c>
      <c r="N134">
        <f>VLOOKUP($K134,'Refrig Measure Savings'!$A$3:$H$82,6,FALSE)</f>
        <v>113</v>
      </c>
      <c r="O134">
        <f>VLOOKUP($K134,'Refrig Measure Savings'!$A$3:$H$82,8,FALSE)</f>
        <v>0</v>
      </c>
      <c r="P134" t="str">
        <f t="shared" si="7"/>
        <v>S-R2522</v>
      </c>
      <c r="Q134" t="s">
        <v>1111</v>
      </c>
    </row>
    <row r="135" spans="1:17" x14ac:dyDescent="0.25">
      <c r="A135" t="s">
        <v>1195</v>
      </c>
      <c r="B135" s="85" t="s">
        <v>1196</v>
      </c>
      <c r="C135" s="82" t="str">
        <f t="shared" si="5"/>
        <v>S-R2523:  Refrigerator, Chest, Glass Door, 30-49 cu ft, ENERGY STAR</v>
      </c>
      <c r="D135" t="s">
        <v>1188</v>
      </c>
      <c r="E135" t="s">
        <v>1189</v>
      </c>
      <c r="F135" t="s">
        <v>1190</v>
      </c>
      <c r="G135" t="s">
        <v>1191</v>
      </c>
      <c r="I135" s="83">
        <v>150</v>
      </c>
      <c r="J135" s="71" t="s">
        <v>1192</v>
      </c>
      <c r="K135">
        <v>2523</v>
      </c>
      <c r="L135" s="84">
        <v>1</v>
      </c>
      <c r="M135">
        <f>VLOOKUP($K135,'Refrig Measure Savings'!$A$3:$H$82,5,FALSE)</f>
        <v>0.02</v>
      </c>
      <c r="N135">
        <f>VLOOKUP($K135,'Refrig Measure Savings'!$A$3:$H$82,6,FALSE)</f>
        <v>177</v>
      </c>
      <c r="O135">
        <f>VLOOKUP($K135,'Refrig Measure Savings'!$A$3:$H$82,8,FALSE)</f>
        <v>0</v>
      </c>
      <c r="P135" t="str">
        <f t="shared" si="7"/>
        <v>S-R2523</v>
      </c>
      <c r="Q135" t="s">
        <v>1111</v>
      </c>
    </row>
    <row r="136" spans="1:17" x14ac:dyDescent="0.25">
      <c r="A136" t="s">
        <v>1197</v>
      </c>
      <c r="B136" s="85" t="s">
        <v>1198</v>
      </c>
      <c r="C136" s="82" t="str">
        <f t="shared" si="5"/>
        <v>S-R2524:  Refrigerator, Chest, Glass Door, 50+ cu ft, ENERGY STAR</v>
      </c>
      <c r="D136" t="s">
        <v>1188</v>
      </c>
      <c r="E136" t="s">
        <v>1189</v>
      </c>
      <c r="F136" t="s">
        <v>1190</v>
      </c>
      <c r="G136" t="s">
        <v>1191</v>
      </c>
      <c r="I136" s="83">
        <v>180</v>
      </c>
      <c r="J136" s="71" t="s">
        <v>1192</v>
      </c>
      <c r="K136">
        <v>2524</v>
      </c>
      <c r="L136" s="84">
        <v>1</v>
      </c>
      <c r="M136">
        <f>VLOOKUP($K136,'Refrig Measure Savings'!$A$3:$H$82,5,FALSE)</f>
        <v>3.1E-2</v>
      </c>
      <c r="N136">
        <f>VLOOKUP($K136,'Refrig Measure Savings'!$A$3:$H$82,6,FALSE)</f>
        <v>270</v>
      </c>
      <c r="O136">
        <f>VLOOKUP($K136,'Refrig Measure Savings'!$A$3:$H$82,8,FALSE)</f>
        <v>0</v>
      </c>
      <c r="P136" t="str">
        <f t="shared" si="7"/>
        <v>S-R2524</v>
      </c>
      <c r="Q136" t="s">
        <v>1111</v>
      </c>
    </row>
    <row r="137" spans="1:17" x14ac:dyDescent="0.25">
      <c r="A137" t="s">
        <v>1199</v>
      </c>
      <c r="B137" s="85" t="s">
        <v>1200</v>
      </c>
      <c r="C137" s="82" t="str">
        <f t="shared" si="5"/>
        <v>S-R2525:  Refrigerator, Chest, Solid Door, &lt;15 cu ft, ENERGY STAR</v>
      </c>
      <c r="D137" t="s">
        <v>1188</v>
      </c>
      <c r="E137" t="s">
        <v>1189</v>
      </c>
      <c r="F137" t="s">
        <v>1190</v>
      </c>
      <c r="G137" t="s">
        <v>1191</v>
      </c>
      <c r="I137" s="83">
        <v>50</v>
      </c>
      <c r="J137" s="71" t="s">
        <v>1192</v>
      </c>
      <c r="K137">
        <v>2525</v>
      </c>
      <c r="L137" s="84">
        <v>1</v>
      </c>
      <c r="M137">
        <f>VLOOKUP($K137,'Refrig Measure Savings'!$A$3:$H$82,5,FALSE)</f>
        <v>2.5999999999999999E-2</v>
      </c>
      <c r="N137">
        <f>VLOOKUP($K137,'Refrig Measure Savings'!$A$3:$H$82,6,FALSE)</f>
        <v>230</v>
      </c>
      <c r="O137">
        <f>VLOOKUP($K137,'Refrig Measure Savings'!$A$3:$H$82,8,FALSE)</f>
        <v>0</v>
      </c>
      <c r="P137" t="str">
        <f t="shared" si="7"/>
        <v>S-R2525</v>
      </c>
      <c r="Q137" t="s">
        <v>1111</v>
      </c>
    </row>
    <row r="138" spans="1:17" x14ac:dyDescent="0.25">
      <c r="A138" t="s">
        <v>1201</v>
      </c>
      <c r="B138" s="85" t="s">
        <v>1202</v>
      </c>
      <c r="C138" s="82" t="str">
        <f t="shared" si="5"/>
        <v>S-R2526:  Refrigerator, Chest, Solid Door, 15-29 cu ft, ENERGY STAR</v>
      </c>
      <c r="D138" t="s">
        <v>1188</v>
      </c>
      <c r="E138" t="s">
        <v>1189</v>
      </c>
      <c r="F138" t="s">
        <v>1190</v>
      </c>
      <c r="G138" t="s">
        <v>1191</v>
      </c>
      <c r="I138" s="83">
        <v>70</v>
      </c>
      <c r="J138" s="71" t="s">
        <v>1192</v>
      </c>
      <c r="K138">
        <v>2526</v>
      </c>
      <c r="L138" s="84">
        <v>1</v>
      </c>
      <c r="M138">
        <f>VLOOKUP($K138,'Refrig Measure Savings'!$A$3:$H$82,5,FALSE)</f>
        <v>2.5999999999999999E-2</v>
      </c>
      <c r="N138">
        <f>VLOOKUP($K138,'Refrig Measure Savings'!$A$3:$H$82,6,FALSE)</f>
        <v>230</v>
      </c>
      <c r="O138">
        <f>VLOOKUP($K138,'Refrig Measure Savings'!$A$3:$H$82,8,FALSE)</f>
        <v>0</v>
      </c>
      <c r="P138" t="str">
        <f t="shared" si="7"/>
        <v>S-R2526</v>
      </c>
      <c r="Q138" t="s">
        <v>1111</v>
      </c>
    </row>
    <row r="139" spans="1:17" x14ac:dyDescent="0.25">
      <c r="A139" t="s">
        <v>1203</v>
      </c>
      <c r="B139" s="85" t="s">
        <v>1204</v>
      </c>
      <c r="C139" s="82" t="str">
        <f t="shared" si="5"/>
        <v>S-R2527:  Refrigerator, Chest, Solid Door, 30-49 cu ft, ENERGY STAR</v>
      </c>
      <c r="D139" t="s">
        <v>1188</v>
      </c>
      <c r="E139" t="s">
        <v>1189</v>
      </c>
      <c r="F139" t="s">
        <v>1190</v>
      </c>
      <c r="G139" t="s">
        <v>1191</v>
      </c>
      <c r="I139" s="83">
        <v>150</v>
      </c>
      <c r="J139" s="71" t="s">
        <v>1192</v>
      </c>
      <c r="K139">
        <v>2527</v>
      </c>
      <c r="L139" s="84">
        <v>1</v>
      </c>
      <c r="M139">
        <f>VLOOKUP($K139,'Refrig Measure Savings'!$A$3:$H$82,5,FALSE)</f>
        <v>2.5999999999999999E-2</v>
      </c>
      <c r="N139">
        <f>VLOOKUP($K139,'Refrig Measure Savings'!$A$3:$H$82,6,FALSE)</f>
        <v>230</v>
      </c>
      <c r="O139">
        <f>VLOOKUP($K139,'Refrig Measure Savings'!$A$3:$H$82,8,FALSE)</f>
        <v>0</v>
      </c>
      <c r="P139" t="str">
        <f t="shared" si="7"/>
        <v>S-R2527</v>
      </c>
      <c r="Q139" t="s">
        <v>1111</v>
      </c>
    </row>
    <row r="140" spans="1:17" x14ac:dyDescent="0.25">
      <c r="A140" t="s">
        <v>1205</v>
      </c>
      <c r="B140" s="85" t="s">
        <v>1206</v>
      </c>
      <c r="C140" s="82" t="str">
        <f t="shared" si="5"/>
        <v>S-R2528:  Refrigerator, Chest, Solid Door, 50+ cu ft, ENERGY STAR</v>
      </c>
      <c r="D140" t="s">
        <v>1188</v>
      </c>
      <c r="E140" t="s">
        <v>1189</v>
      </c>
      <c r="F140" t="s">
        <v>1190</v>
      </c>
      <c r="G140" t="s">
        <v>1191</v>
      </c>
      <c r="I140" s="83">
        <v>180</v>
      </c>
      <c r="J140" s="71" t="s">
        <v>1192</v>
      </c>
      <c r="K140">
        <v>2528</v>
      </c>
      <c r="L140" s="84">
        <v>1</v>
      </c>
      <c r="M140">
        <f>VLOOKUP($K140,'Refrig Measure Savings'!$A$3:$H$82,5,FALSE)</f>
        <v>2.5999999999999999E-2</v>
      </c>
      <c r="N140">
        <f>VLOOKUP($K140,'Refrig Measure Savings'!$A$3:$H$82,6,FALSE)</f>
        <v>230</v>
      </c>
      <c r="O140">
        <f>VLOOKUP($K140,'Refrig Measure Savings'!$A$3:$H$82,8,FALSE)</f>
        <v>0</v>
      </c>
      <c r="P140" t="str">
        <f t="shared" si="7"/>
        <v>S-R2528</v>
      </c>
      <c r="Q140" t="s">
        <v>1111</v>
      </c>
    </row>
    <row r="141" spans="1:17" x14ac:dyDescent="0.25">
      <c r="A141" t="s">
        <v>1207</v>
      </c>
      <c r="B141" s="85" t="s">
        <v>1208</v>
      </c>
      <c r="C141" s="82" t="str">
        <f t="shared" si="5"/>
        <v>S-R2529:  Refrigerator, Vertical, Glass Door, &lt;15 cu ft, ENERGY STAR</v>
      </c>
      <c r="D141" t="s">
        <v>1188</v>
      </c>
      <c r="E141" t="s">
        <v>1189</v>
      </c>
      <c r="F141" t="s">
        <v>1190</v>
      </c>
      <c r="G141" t="s">
        <v>1191</v>
      </c>
      <c r="I141" s="83">
        <v>50</v>
      </c>
      <c r="J141" s="71" t="s">
        <v>1192</v>
      </c>
      <c r="K141">
        <v>2529</v>
      </c>
      <c r="L141" s="84">
        <v>1</v>
      </c>
      <c r="M141">
        <f>VLOOKUP($K141,'Refrig Measure Savings'!$A$3:$H$82,5,FALSE)</f>
        <v>1.9E-2</v>
      </c>
      <c r="N141">
        <f>VLOOKUP($K141,'Refrig Measure Savings'!$A$3:$H$82,6,FALSE)</f>
        <v>165</v>
      </c>
      <c r="O141">
        <f>VLOOKUP($K141,'Refrig Measure Savings'!$A$3:$H$82,8,FALSE)</f>
        <v>0</v>
      </c>
      <c r="P141" t="str">
        <f t="shared" si="7"/>
        <v>S-R2529</v>
      </c>
      <c r="Q141" t="s">
        <v>1111</v>
      </c>
    </row>
    <row r="142" spans="1:17" x14ac:dyDescent="0.25">
      <c r="A142" t="s">
        <v>1209</v>
      </c>
      <c r="B142" s="85" t="s">
        <v>1210</v>
      </c>
      <c r="C142" s="82" t="str">
        <f t="shared" si="5"/>
        <v>S-R2530:  Refrigerator, Vertical, Glass Door, 15-29 cu ft, ENERGY STAR</v>
      </c>
      <c r="D142" t="s">
        <v>1188</v>
      </c>
      <c r="E142" t="s">
        <v>1189</v>
      </c>
      <c r="F142" t="s">
        <v>1190</v>
      </c>
      <c r="G142" t="s">
        <v>1191</v>
      </c>
      <c r="I142" s="83">
        <v>70</v>
      </c>
      <c r="J142" s="71" t="s">
        <v>1192</v>
      </c>
      <c r="K142">
        <v>2530</v>
      </c>
      <c r="L142" s="84">
        <v>1</v>
      </c>
      <c r="M142">
        <f>VLOOKUP($K142,'Refrig Measure Savings'!$A$3:$H$82,5,FALSE)</f>
        <v>3.5000000000000003E-2</v>
      </c>
      <c r="N142">
        <f>VLOOKUP($K142,'Refrig Measure Savings'!$A$3:$H$82,6,FALSE)</f>
        <v>307</v>
      </c>
      <c r="O142">
        <f>VLOOKUP($K142,'Refrig Measure Savings'!$A$3:$H$82,8,FALSE)</f>
        <v>0</v>
      </c>
      <c r="P142" t="str">
        <f t="shared" si="7"/>
        <v>S-R2530</v>
      </c>
      <c r="Q142" t="s">
        <v>1111</v>
      </c>
    </row>
    <row r="143" spans="1:17" x14ac:dyDescent="0.25">
      <c r="A143" t="s">
        <v>1211</v>
      </c>
      <c r="B143" s="85" t="s">
        <v>1212</v>
      </c>
      <c r="C143" s="82" t="str">
        <f t="shared" si="5"/>
        <v>S-R2531:  Refrigerator, Vertical, Glass Door, 30-49 cu ft, ENERGY STAR</v>
      </c>
      <c r="D143" t="s">
        <v>1188</v>
      </c>
      <c r="E143" t="s">
        <v>1189</v>
      </c>
      <c r="F143" t="s">
        <v>1190</v>
      </c>
      <c r="G143" t="s">
        <v>1191</v>
      </c>
      <c r="I143" s="83">
        <v>150</v>
      </c>
      <c r="J143" s="71" t="s">
        <v>1192</v>
      </c>
      <c r="K143">
        <v>2531</v>
      </c>
      <c r="L143" s="84">
        <v>1</v>
      </c>
      <c r="M143">
        <f>VLOOKUP($K143,'Refrig Measure Savings'!$A$3:$H$82,5,FALSE)</f>
        <v>6.0999999999999999E-2</v>
      </c>
      <c r="N143">
        <f>VLOOKUP($K143,'Refrig Measure Savings'!$A$3:$H$82,6,FALSE)</f>
        <v>536</v>
      </c>
      <c r="O143">
        <f>VLOOKUP($K143,'Refrig Measure Savings'!$A$3:$H$82,8,FALSE)</f>
        <v>0</v>
      </c>
      <c r="P143" t="str">
        <f t="shared" si="7"/>
        <v>S-R2531</v>
      </c>
      <c r="Q143" t="s">
        <v>1111</v>
      </c>
    </row>
    <row r="144" spans="1:17" x14ac:dyDescent="0.25">
      <c r="A144" t="s">
        <v>1213</v>
      </c>
      <c r="B144" s="85" t="s">
        <v>1214</v>
      </c>
      <c r="C144" s="82" t="str">
        <f t="shared" si="5"/>
        <v>S-R2532:  Refrigerator, Vertical, Glass Door, 50+ cu ft, ENERGY STAR</v>
      </c>
      <c r="D144" t="s">
        <v>1188</v>
      </c>
      <c r="E144" t="s">
        <v>1189</v>
      </c>
      <c r="F144" t="s">
        <v>1190</v>
      </c>
      <c r="G144" t="s">
        <v>1191</v>
      </c>
      <c r="I144" s="83">
        <v>180</v>
      </c>
      <c r="J144" s="71" t="s">
        <v>1192</v>
      </c>
      <c r="K144">
        <v>2532</v>
      </c>
      <c r="L144" s="84">
        <v>1</v>
      </c>
      <c r="M144">
        <f>VLOOKUP($K144,'Refrig Measure Savings'!$A$3:$H$82,5,FALSE)</f>
        <v>6.9000000000000006E-2</v>
      </c>
      <c r="N144">
        <f>VLOOKUP($K144,'Refrig Measure Savings'!$A$3:$H$82,6,FALSE)</f>
        <v>601</v>
      </c>
      <c r="O144">
        <f>VLOOKUP($K144,'Refrig Measure Savings'!$A$3:$H$82,8,FALSE)</f>
        <v>0</v>
      </c>
      <c r="P144" t="str">
        <f t="shared" si="7"/>
        <v>S-R2532</v>
      </c>
      <c r="Q144" t="s">
        <v>1111</v>
      </c>
    </row>
    <row r="145" spans="1:17" x14ac:dyDescent="0.25">
      <c r="A145" t="s">
        <v>1215</v>
      </c>
      <c r="B145" s="85" t="s">
        <v>1216</v>
      </c>
      <c r="C145" s="82" t="str">
        <f t="shared" si="5"/>
        <v>S-R2533:  Refrigerator, Vertical, Solid Door, &lt;15 cu ft, ENERGY STAR</v>
      </c>
      <c r="D145" t="s">
        <v>1188</v>
      </c>
      <c r="E145" t="s">
        <v>1189</v>
      </c>
      <c r="F145" t="s">
        <v>1190</v>
      </c>
      <c r="G145" t="s">
        <v>1191</v>
      </c>
      <c r="I145" s="83">
        <v>50</v>
      </c>
      <c r="J145" s="71" t="s">
        <v>1192</v>
      </c>
      <c r="K145">
        <v>2533</v>
      </c>
      <c r="L145" s="84">
        <v>1</v>
      </c>
      <c r="M145">
        <f>VLOOKUP($K145,'Refrig Measure Savings'!$A$3:$H$82,5,FALSE)</f>
        <v>2.5000000000000001E-2</v>
      </c>
      <c r="N145">
        <f>VLOOKUP($K145,'Refrig Measure Savings'!$A$3:$H$82,6,FALSE)</f>
        <v>219</v>
      </c>
      <c r="O145">
        <f>VLOOKUP($K145,'Refrig Measure Savings'!$A$3:$H$82,8,FALSE)</f>
        <v>0</v>
      </c>
      <c r="P145" t="str">
        <f t="shared" si="7"/>
        <v>S-R2533</v>
      </c>
      <c r="Q145" t="s">
        <v>1111</v>
      </c>
    </row>
    <row r="146" spans="1:17" x14ac:dyDescent="0.25">
      <c r="A146" t="s">
        <v>1217</v>
      </c>
      <c r="B146" s="85" t="s">
        <v>1218</v>
      </c>
      <c r="C146" s="82" t="str">
        <f t="shared" si="5"/>
        <v>S-R2534:  Refrigerator, Vertical, Solid Door, 15-29 cu ft, ENERGY STAR</v>
      </c>
      <c r="D146" t="s">
        <v>1188</v>
      </c>
      <c r="E146" t="s">
        <v>1189</v>
      </c>
      <c r="F146" t="s">
        <v>1190</v>
      </c>
      <c r="G146" t="s">
        <v>1191</v>
      </c>
      <c r="I146" s="83">
        <v>70</v>
      </c>
      <c r="J146" s="71" t="s">
        <v>1192</v>
      </c>
      <c r="K146">
        <v>2534</v>
      </c>
      <c r="L146" s="84">
        <v>1</v>
      </c>
      <c r="M146">
        <f>VLOOKUP($K146,'Refrig Measure Savings'!$A$3:$H$82,5,FALSE)</f>
        <v>2.9000000000000001E-2</v>
      </c>
      <c r="N146">
        <f>VLOOKUP($K146,'Refrig Measure Savings'!$A$3:$H$82,6,FALSE)</f>
        <v>255</v>
      </c>
      <c r="O146">
        <f>VLOOKUP($K146,'Refrig Measure Savings'!$A$3:$H$82,8,FALSE)</f>
        <v>0</v>
      </c>
      <c r="P146" t="str">
        <f t="shared" si="7"/>
        <v>S-R2534</v>
      </c>
      <c r="Q146" t="s">
        <v>1111</v>
      </c>
    </row>
    <row r="147" spans="1:17" x14ac:dyDescent="0.25">
      <c r="A147" t="s">
        <v>1219</v>
      </c>
      <c r="B147" s="85" t="s">
        <v>1220</v>
      </c>
      <c r="C147" s="82" t="str">
        <f t="shared" si="5"/>
        <v>S-R2535:  Refrigerator, Vertical, Solid Door, 30-49 cu ft, ENERGY STAR</v>
      </c>
      <c r="D147" t="s">
        <v>1188</v>
      </c>
      <c r="E147" t="s">
        <v>1189</v>
      </c>
      <c r="F147" t="s">
        <v>1190</v>
      </c>
      <c r="G147" t="s">
        <v>1191</v>
      </c>
      <c r="I147" s="83">
        <v>150</v>
      </c>
      <c r="J147" s="71" t="s">
        <v>1192</v>
      </c>
      <c r="K147">
        <v>2535</v>
      </c>
      <c r="L147" s="84">
        <v>1</v>
      </c>
      <c r="M147">
        <f>VLOOKUP($K147,'Refrig Measure Savings'!$A$3:$H$82,5,FALSE)</f>
        <v>2.8000000000000001E-2</v>
      </c>
      <c r="N147">
        <f>VLOOKUP($K147,'Refrig Measure Savings'!$A$3:$H$82,6,FALSE)</f>
        <v>243</v>
      </c>
      <c r="O147">
        <f>VLOOKUP($K147,'Refrig Measure Savings'!$A$3:$H$82,8,FALSE)</f>
        <v>0</v>
      </c>
      <c r="P147" t="str">
        <f t="shared" si="7"/>
        <v>S-R2535</v>
      </c>
      <c r="Q147" t="s">
        <v>1111</v>
      </c>
    </row>
    <row r="148" spans="1:17" x14ac:dyDescent="0.25">
      <c r="A148" t="s">
        <v>1221</v>
      </c>
      <c r="B148" s="85" t="s">
        <v>1222</v>
      </c>
      <c r="C148" s="82" t="str">
        <f t="shared" si="5"/>
        <v>S-R2536:  Refrigerator, Vertical, Solid Door, 50+ cu ft, ENERGY STAR</v>
      </c>
      <c r="D148" t="s">
        <v>1188</v>
      </c>
      <c r="E148" t="s">
        <v>1189</v>
      </c>
      <c r="F148" t="s">
        <v>1190</v>
      </c>
      <c r="G148" t="s">
        <v>1191</v>
      </c>
      <c r="I148" s="83">
        <v>180</v>
      </c>
      <c r="J148" s="71" t="s">
        <v>1192</v>
      </c>
      <c r="K148">
        <v>2536</v>
      </c>
      <c r="L148" s="84">
        <v>1</v>
      </c>
      <c r="M148">
        <f>VLOOKUP($K148,'Refrig Measure Savings'!$A$3:$H$82,5,FALSE)</f>
        <v>4.8000000000000001E-2</v>
      </c>
      <c r="N148">
        <f>VLOOKUP($K148,'Refrig Measure Savings'!$A$3:$H$82,6,FALSE)</f>
        <v>423</v>
      </c>
      <c r="O148">
        <f>VLOOKUP($K148,'Refrig Measure Savings'!$A$3:$H$82,8,FALSE)</f>
        <v>0</v>
      </c>
      <c r="P148" t="str">
        <f t="shared" si="7"/>
        <v>S-R2536</v>
      </c>
      <c r="Q148" t="s">
        <v>1111</v>
      </c>
    </row>
    <row r="149" spans="1:17" x14ac:dyDescent="0.25">
      <c r="A149" t="s">
        <v>1223</v>
      </c>
      <c r="B149" s="85" t="s">
        <v>1224</v>
      </c>
      <c r="C149" s="82" t="str">
        <f t="shared" si="5"/>
        <v>S-R2321:  Freezer, Chest, Glass Door, &lt;15 cu ft, ENERGY STAR</v>
      </c>
      <c r="D149" t="s">
        <v>1188</v>
      </c>
      <c r="E149" t="s">
        <v>1189</v>
      </c>
      <c r="F149" t="s">
        <v>1190</v>
      </c>
      <c r="G149" t="s">
        <v>1225</v>
      </c>
      <c r="I149" s="83">
        <v>50</v>
      </c>
      <c r="J149" s="71" t="s">
        <v>1226</v>
      </c>
      <c r="K149">
        <v>2321</v>
      </c>
      <c r="L149" s="84">
        <v>1</v>
      </c>
      <c r="M149">
        <f>VLOOKUP($K149,'Refrig Measure Savings'!$A$3:$H$82,5,FALSE)</f>
        <v>3.5999999999999997E-2</v>
      </c>
      <c r="N149">
        <f>VLOOKUP($K149,'Refrig Measure Savings'!$A$3:$H$82,6,FALSE)</f>
        <v>311</v>
      </c>
      <c r="O149">
        <f>VLOOKUP($K149,'Refrig Measure Savings'!$A$3:$H$82,8,FALSE)</f>
        <v>0</v>
      </c>
      <c r="P149" t="str">
        <f t="shared" si="7"/>
        <v>S-R2321</v>
      </c>
      <c r="Q149" t="s">
        <v>1111</v>
      </c>
    </row>
    <row r="150" spans="1:17" x14ac:dyDescent="0.25">
      <c r="A150" t="s">
        <v>1227</v>
      </c>
      <c r="B150" s="85" t="s">
        <v>1228</v>
      </c>
      <c r="C150" s="82" t="str">
        <f t="shared" ref="C150:C184" si="8">IF(ISBLANK(A150),"",A150&amp;":  ") &amp;B150</f>
        <v>S-R2322:  Freezer, Chest, Glass Door, 15-29 cu ft, ENERGY STAR</v>
      </c>
      <c r="D150" t="s">
        <v>1188</v>
      </c>
      <c r="E150" t="s">
        <v>1189</v>
      </c>
      <c r="F150" t="s">
        <v>1190</v>
      </c>
      <c r="G150" t="s">
        <v>1225</v>
      </c>
      <c r="I150" s="83">
        <v>70</v>
      </c>
      <c r="J150" s="71" t="s">
        <v>1226</v>
      </c>
      <c r="K150">
        <v>2322</v>
      </c>
      <c r="L150" s="84">
        <v>1</v>
      </c>
      <c r="M150">
        <f>VLOOKUP($K150,'Refrig Measure Savings'!$A$3:$H$82,5,FALSE)</f>
        <v>4.9000000000000002E-2</v>
      </c>
      <c r="N150">
        <f>VLOOKUP($K150,'Refrig Measure Savings'!$A$3:$H$82,6,FALSE)</f>
        <v>433</v>
      </c>
      <c r="O150">
        <f>VLOOKUP($K150,'Refrig Measure Savings'!$A$3:$H$82,8,FALSE)</f>
        <v>0</v>
      </c>
      <c r="P150" t="str">
        <f t="shared" si="7"/>
        <v>S-R2322</v>
      </c>
      <c r="Q150" t="s">
        <v>1111</v>
      </c>
    </row>
    <row r="151" spans="1:17" x14ac:dyDescent="0.25">
      <c r="A151" t="s">
        <v>1229</v>
      </c>
      <c r="B151" s="85" t="s">
        <v>1230</v>
      </c>
      <c r="C151" s="82" t="str">
        <f t="shared" si="8"/>
        <v>S-R2323:  Freezer, Chest, Glass Door, 30-49 cu ft, ENERGY STAR</v>
      </c>
      <c r="D151" t="s">
        <v>1188</v>
      </c>
      <c r="E151" t="s">
        <v>1189</v>
      </c>
      <c r="F151" t="s">
        <v>1190</v>
      </c>
      <c r="G151" t="s">
        <v>1225</v>
      </c>
      <c r="I151" s="83">
        <v>150</v>
      </c>
      <c r="J151" s="71" t="s">
        <v>1226</v>
      </c>
      <c r="K151">
        <v>2323</v>
      </c>
      <c r="L151" s="84">
        <v>1</v>
      </c>
      <c r="M151">
        <f>VLOOKUP($K151,'Refrig Measure Savings'!$A$3:$H$82,5,FALSE)</f>
        <v>6.6000000000000003E-2</v>
      </c>
      <c r="N151">
        <f>VLOOKUP($K151,'Refrig Measure Savings'!$A$3:$H$82,6,FALSE)</f>
        <v>580</v>
      </c>
      <c r="O151">
        <f>VLOOKUP($K151,'Refrig Measure Savings'!$A$3:$H$82,8,FALSE)</f>
        <v>0</v>
      </c>
      <c r="P151" t="str">
        <f t="shared" si="7"/>
        <v>S-R2323</v>
      </c>
      <c r="Q151" t="s">
        <v>1111</v>
      </c>
    </row>
    <row r="152" spans="1:17" x14ac:dyDescent="0.25">
      <c r="A152" t="s">
        <v>1231</v>
      </c>
      <c r="B152" s="85" t="s">
        <v>1232</v>
      </c>
      <c r="C152" s="82" t="str">
        <f t="shared" si="8"/>
        <v>S-R2324:  Freezer, Chest, Glass Door, 50+ cu ft, ENERGY STAR</v>
      </c>
      <c r="D152" t="s">
        <v>1188</v>
      </c>
      <c r="E152" t="s">
        <v>1189</v>
      </c>
      <c r="F152" t="s">
        <v>1190</v>
      </c>
      <c r="G152" t="s">
        <v>1225</v>
      </c>
      <c r="I152" s="83">
        <v>180</v>
      </c>
      <c r="J152" s="71" t="s">
        <v>1226</v>
      </c>
      <c r="K152">
        <v>2324</v>
      </c>
      <c r="L152" s="84">
        <v>1</v>
      </c>
      <c r="M152">
        <f>VLOOKUP($K152,'Refrig Measure Savings'!$A$3:$H$82,5,FALSE)</f>
        <v>9.0999999999999998E-2</v>
      </c>
      <c r="N152">
        <f>VLOOKUP($K152,'Refrig Measure Savings'!$A$3:$H$82,6,FALSE)</f>
        <v>794</v>
      </c>
      <c r="O152">
        <f>VLOOKUP($K152,'Refrig Measure Savings'!$A$3:$H$82,8,FALSE)</f>
        <v>0</v>
      </c>
      <c r="P152" t="str">
        <f t="shared" si="7"/>
        <v>S-R2324</v>
      </c>
      <c r="Q152" t="s">
        <v>1111</v>
      </c>
    </row>
    <row r="153" spans="1:17" x14ac:dyDescent="0.25">
      <c r="A153" t="s">
        <v>1233</v>
      </c>
      <c r="B153" s="85" t="s">
        <v>1234</v>
      </c>
      <c r="C153" s="82" t="str">
        <f t="shared" si="8"/>
        <v>S-R2325:  Freezer, Chest, Solid Door, &lt;15 cu ft, ENERGY STAR</v>
      </c>
      <c r="D153" t="s">
        <v>1188</v>
      </c>
      <c r="E153" t="s">
        <v>1189</v>
      </c>
      <c r="F153" t="s">
        <v>1190</v>
      </c>
      <c r="G153" t="s">
        <v>1225</v>
      </c>
      <c r="I153" s="83">
        <v>50</v>
      </c>
      <c r="J153" s="71" t="s">
        <v>1226</v>
      </c>
      <c r="K153">
        <v>2325</v>
      </c>
      <c r="L153" s="84">
        <v>1</v>
      </c>
      <c r="M153">
        <f>VLOOKUP($K153,'Refrig Measure Savings'!$A$3:$H$82,5,FALSE)</f>
        <v>2.5000000000000001E-2</v>
      </c>
      <c r="N153">
        <f>VLOOKUP($K153,'Refrig Measure Savings'!$A$3:$H$82,6,FALSE)</f>
        <v>216</v>
      </c>
      <c r="O153">
        <f>VLOOKUP($K153,'Refrig Measure Savings'!$A$3:$H$82,8,FALSE)</f>
        <v>0</v>
      </c>
      <c r="P153" t="str">
        <f t="shared" si="7"/>
        <v>S-R2325</v>
      </c>
      <c r="Q153" t="s">
        <v>1111</v>
      </c>
    </row>
    <row r="154" spans="1:17" x14ac:dyDescent="0.25">
      <c r="A154" t="s">
        <v>1235</v>
      </c>
      <c r="B154" s="85" t="s">
        <v>1236</v>
      </c>
      <c r="C154" s="82" t="str">
        <f t="shared" si="8"/>
        <v>S-R2326:  Freezer, Chest, Solid Door, 15-29 cu ft, ENERGY STAR</v>
      </c>
      <c r="D154" t="s">
        <v>1188</v>
      </c>
      <c r="E154" t="s">
        <v>1189</v>
      </c>
      <c r="F154" t="s">
        <v>1190</v>
      </c>
      <c r="G154" t="s">
        <v>1225</v>
      </c>
      <c r="I154" s="83">
        <v>70</v>
      </c>
      <c r="J154" s="71" t="s">
        <v>1226</v>
      </c>
      <c r="K154">
        <v>2326</v>
      </c>
      <c r="L154" s="84">
        <v>1</v>
      </c>
      <c r="M154">
        <f>VLOOKUP($K154,'Refrig Measure Savings'!$A$3:$H$82,5,FALSE)</f>
        <v>2.5999999999999999E-2</v>
      </c>
      <c r="N154">
        <f>VLOOKUP($K154,'Refrig Measure Savings'!$A$3:$H$82,6,FALSE)</f>
        <v>232</v>
      </c>
      <c r="O154">
        <f>VLOOKUP($K154,'Refrig Measure Savings'!$A$3:$H$82,8,FALSE)</f>
        <v>0</v>
      </c>
      <c r="P154" t="str">
        <f t="shared" si="7"/>
        <v>S-R2326</v>
      </c>
      <c r="Q154" t="s">
        <v>1111</v>
      </c>
    </row>
    <row r="155" spans="1:17" x14ac:dyDescent="0.25">
      <c r="A155" t="s">
        <v>1237</v>
      </c>
      <c r="B155" s="85" t="s">
        <v>1238</v>
      </c>
      <c r="C155" s="82" t="str">
        <f t="shared" si="8"/>
        <v>S-R2327:  Freezer, Chest, Solid Door, 30-49 cu ft, ENERGY STAR</v>
      </c>
      <c r="D155" t="s">
        <v>1188</v>
      </c>
      <c r="E155" t="s">
        <v>1189</v>
      </c>
      <c r="F155" t="s">
        <v>1190</v>
      </c>
      <c r="G155" t="s">
        <v>1225</v>
      </c>
      <c r="I155" s="83">
        <v>150</v>
      </c>
      <c r="J155" s="71" t="s">
        <v>1226</v>
      </c>
      <c r="K155">
        <v>2327</v>
      </c>
      <c r="L155" s="84">
        <v>1</v>
      </c>
      <c r="M155">
        <f>VLOOKUP($K155,'Refrig Measure Savings'!$A$3:$H$82,5,FALSE)</f>
        <v>2.9000000000000001E-2</v>
      </c>
      <c r="N155">
        <f>VLOOKUP($K155,'Refrig Measure Savings'!$A$3:$H$82,6,FALSE)</f>
        <v>251</v>
      </c>
      <c r="O155">
        <f>VLOOKUP($K155,'Refrig Measure Savings'!$A$3:$H$82,8,FALSE)</f>
        <v>0</v>
      </c>
      <c r="P155" t="str">
        <f t="shared" si="7"/>
        <v>S-R2327</v>
      </c>
      <c r="Q155" t="s">
        <v>1111</v>
      </c>
    </row>
    <row r="156" spans="1:17" x14ac:dyDescent="0.25">
      <c r="A156" t="s">
        <v>1239</v>
      </c>
      <c r="B156" s="85" t="s">
        <v>1240</v>
      </c>
      <c r="C156" s="82" t="str">
        <f t="shared" si="8"/>
        <v>S-R2328:  Freezer, Chest, Solid Door, 50+ cu ft, ENERGY STAR</v>
      </c>
      <c r="D156" t="s">
        <v>1188</v>
      </c>
      <c r="E156" t="s">
        <v>1189</v>
      </c>
      <c r="F156" t="s">
        <v>1190</v>
      </c>
      <c r="G156" t="s">
        <v>1225</v>
      </c>
      <c r="I156" s="83">
        <v>180</v>
      </c>
      <c r="J156" s="71" t="s">
        <v>1226</v>
      </c>
      <c r="K156">
        <v>2328</v>
      </c>
      <c r="L156" s="84">
        <v>1</v>
      </c>
      <c r="M156">
        <f>VLOOKUP($K156,'Refrig Measure Savings'!$A$3:$H$82,5,FALSE)</f>
        <v>3.2000000000000001E-2</v>
      </c>
      <c r="N156">
        <f>VLOOKUP($K156,'Refrig Measure Savings'!$A$3:$H$82,6,FALSE)</f>
        <v>279</v>
      </c>
      <c r="O156">
        <f>VLOOKUP($K156,'Refrig Measure Savings'!$A$3:$H$82,8,FALSE)</f>
        <v>0</v>
      </c>
      <c r="P156" t="str">
        <f t="shared" si="7"/>
        <v>S-R2328</v>
      </c>
      <c r="Q156" t="s">
        <v>1111</v>
      </c>
    </row>
    <row r="157" spans="1:17" x14ac:dyDescent="0.25">
      <c r="A157" t="s">
        <v>1241</v>
      </c>
      <c r="B157" s="85" t="s">
        <v>1242</v>
      </c>
      <c r="C157" s="82" t="str">
        <f t="shared" si="8"/>
        <v>S-R2329:  Freezer, Vertical, Glass Door, &lt;15 cu ft, ENERGY STAR</v>
      </c>
      <c r="D157" t="s">
        <v>1188</v>
      </c>
      <c r="E157" t="s">
        <v>1189</v>
      </c>
      <c r="F157" t="s">
        <v>1190</v>
      </c>
      <c r="G157" t="s">
        <v>1225</v>
      </c>
      <c r="I157" s="83">
        <v>50</v>
      </c>
      <c r="J157" s="71" t="s">
        <v>1226</v>
      </c>
      <c r="K157">
        <v>2329</v>
      </c>
      <c r="L157" s="84">
        <v>1</v>
      </c>
      <c r="M157">
        <f>VLOOKUP($K157,'Refrig Measure Savings'!$A$3:$H$82,5,FALSE)</f>
        <v>0.43</v>
      </c>
      <c r="N157">
        <f>VLOOKUP($K157,'Refrig Measure Savings'!$A$3:$H$82,6,FALSE)</f>
        <v>374</v>
      </c>
      <c r="O157">
        <f>VLOOKUP($K157,'Refrig Measure Savings'!$A$3:$H$82,8,FALSE)</f>
        <v>0</v>
      </c>
      <c r="P157" t="str">
        <f t="shared" si="7"/>
        <v>S-R2329</v>
      </c>
      <c r="Q157" t="s">
        <v>1111</v>
      </c>
    </row>
    <row r="158" spans="1:17" x14ac:dyDescent="0.25">
      <c r="A158" t="s">
        <v>1243</v>
      </c>
      <c r="B158" s="85" t="s">
        <v>1244</v>
      </c>
      <c r="C158" s="82" t="str">
        <f t="shared" si="8"/>
        <v>S-R2330:  Freezer, Vertical, Glass Door, 15-29 cu ft, ENERGY STAR</v>
      </c>
      <c r="D158" t="s">
        <v>1188</v>
      </c>
      <c r="E158" t="s">
        <v>1189</v>
      </c>
      <c r="F158" t="s">
        <v>1190</v>
      </c>
      <c r="G158" t="s">
        <v>1225</v>
      </c>
      <c r="I158" s="83">
        <v>70</v>
      </c>
      <c r="J158" s="71" t="s">
        <v>1226</v>
      </c>
      <c r="K158">
        <v>2330</v>
      </c>
      <c r="L158" s="84">
        <v>1</v>
      </c>
      <c r="M158">
        <f>VLOOKUP($K158,'Refrig Measure Savings'!$A$3:$H$82,5,FALSE)</f>
        <v>7.8E-2</v>
      </c>
      <c r="N158">
        <f>VLOOKUP($K158,'Refrig Measure Savings'!$A$3:$H$82,6,FALSE)</f>
        <v>681</v>
      </c>
      <c r="O158">
        <f>VLOOKUP($K158,'Refrig Measure Savings'!$A$3:$H$82,8,FALSE)</f>
        <v>0</v>
      </c>
      <c r="P158" t="str">
        <f t="shared" si="7"/>
        <v>S-R2330</v>
      </c>
      <c r="Q158" t="s">
        <v>1111</v>
      </c>
    </row>
    <row r="159" spans="1:17" x14ac:dyDescent="0.25">
      <c r="A159" t="s">
        <v>1245</v>
      </c>
      <c r="B159" s="85" t="s">
        <v>1246</v>
      </c>
      <c r="C159" s="82" t="str">
        <f t="shared" si="8"/>
        <v>S-R2331:  Freezer, Vertical, Glass Door, 30-49 cu ft, ENERGY STAR</v>
      </c>
      <c r="D159" t="s">
        <v>1188</v>
      </c>
      <c r="E159" t="s">
        <v>1189</v>
      </c>
      <c r="F159" t="s">
        <v>1190</v>
      </c>
      <c r="G159" t="s">
        <v>1225</v>
      </c>
      <c r="I159" s="83">
        <v>150</v>
      </c>
      <c r="J159" s="71" t="s">
        <v>1226</v>
      </c>
      <c r="K159">
        <v>2331</v>
      </c>
      <c r="L159" s="84">
        <v>1</v>
      </c>
      <c r="M159">
        <f>VLOOKUP($K159,'Refrig Measure Savings'!$A$3:$H$82,5,FALSE)</f>
        <v>0.12</v>
      </c>
      <c r="N159">
        <f>VLOOKUP($K159,'Refrig Measure Savings'!$A$3:$H$82,6,FALSE)</f>
        <v>1052</v>
      </c>
      <c r="O159">
        <f>VLOOKUP($K159,'Refrig Measure Savings'!$A$3:$H$82,8,FALSE)</f>
        <v>0</v>
      </c>
      <c r="P159" t="str">
        <f t="shared" si="7"/>
        <v>S-R2331</v>
      </c>
      <c r="Q159" t="s">
        <v>1111</v>
      </c>
    </row>
    <row r="160" spans="1:17" x14ac:dyDescent="0.25">
      <c r="A160" t="s">
        <v>1247</v>
      </c>
      <c r="B160" s="85" t="s">
        <v>1248</v>
      </c>
      <c r="C160" s="82" t="str">
        <f t="shared" si="8"/>
        <v>S-R2332:  Freezer, Vertical, Glass Door, 50+ cu ft, ENERGY STAR</v>
      </c>
      <c r="D160" t="s">
        <v>1188</v>
      </c>
      <c r="E160" t="s">
        <v>1189</v>
      </c>
      <c r="F160" t="s">
        <v>1190</v>
      </c>
      <c r="G160" t="s">
        <v>1225</v>
      </c>
      <c r="I160" s="83">
        <v>180</v>
      </c>
      <c r="J160" s="71" t="s">
        <v>1226</v>
      </c>
      <c r="K160">
        <v>2332</v>
      </c>
      <c r="L160" s="84">
        <v>1</v>
      </c>
      <c r="M160">
        <f>VLOOKUP($K160,'Refrig Measure Savings'!$A$3:$H$82,5,FALSE)</f>
        <v>0.182</v>
      </c>
      <c r="N160">
        <f>VLOOKUP($K160,'Refrig Measure Savings'!$A$3:$H$82,6,FALSE)</f>
        <v>1591</v>
      </c>
      <c r="O160">
        <f>VLOOKUP($K160,'Refrig Measure Savings'!$A$3:$H$82,8,FALSE)</f>
        <v>0</v>
      </c>
      <c r="P160" t="str">
        <f t="shared" si="7"/>
        <v>S-R2332</v>
      </c>
      <c r="Q160" t="s">
        <v>1111</v>
      </c>
    </row>
    <row r="161" spans="1:17" x14ac:dyDescent="0.25">
      <c r="A161" t="s">
        <v>1249</v>
      </c>
      <c r="B161" s="85" t="s">
        <v>1250</v>
      </c>
      <c r="C161" s="82" t="str">
        <f t="shared" si="8"/>
        <v>S-R2333:  Freezer, Vertical, Solid Door, &lt;15 cu ft, ENERGY STAR</v>
      </c>
      <c r="D161" t="s">
        <v>1188</v>
      </c>
      <c r="E161" t="s">
        <v>1189</v>
      </c>
      <c r="F161" t="s">
        <v>1190</v>
      </c>
      <c r="G161" t="s">
        <v>1225</v>
      </c>
      <c r="I161" s="83">
        <v>50</v>
      </c>
      <c r="J161" s="71" t="s">
        <v>1226</v>
      </c>
      <c r="K161">
        <v>2333</v>
      </c>
      <c r="L161" s="84">
        <v>1</v>
      </c>
      <c r="M161">
        <f>VLOOKUP($K161,'Refrig Measure Savings'!$A$3:$H$82,5,FALSE)</f>
        <v>2.3E-2</v>
      </c>
      <c r="N161">
        <f>VLOOKUP($K161,'Refrig Measure Savings'!$A$3:$H$82,6,FALSE)</f>
        <v>203</v>
      </c>
      <c r="O161">
        <f>VLOOKUP($K161,'Refrig Measure Savings'!$A$3:$H$82,8,FALSE)</f>
        <v>0</v>
      </c>
      <c r="P161" t="str">
        <f t="shared" si="7"/>
        <v>S-R2333</v>
      </c>
      <c r="Q161" t="s">
        <v>1111</v>
      </c>
    </row>
    <row r="162" spans="1:17" x14ac:dyDescent="0.25">
      <c r="A162" t="s">
        <v>1251</v>
      </c>
      <c r="B162" s="85" t="s">
        <v>1252</v>
      </c>
      <c r="C162" s="82" t="str">
        <f t="shared" si="8"/>
        <v>S-R2334:  Freezer, Vertical, Solid Door, 15-29 cu ft, ENERGY STAR</v>
      </c>
      <c r="D162" t="s">
        <v>1188</v>
      </c>
      <c r="E162" t="s">
        <v>1189</v>
      </c>
      <c r="F162" t="s">
        <v>1190</v>
      </c>
      <c r="G162" t="s">
        <v>1225</v>
      </c>
      <c r="I162" s="83">
        <v>70</v>
      </c>
      <c r="J162" s="71" t="s">
        <v>1226</v>
      </c>
      <c r="K162">
        <v>2334</v>
      </c>
      <c r="L162" s="84">
        <v>1</v>
      </c>
      <c r="M162">
        <f>VLOOKUP($K162,'Refrig Measure Savings'!$A$3:$H$82,5,FALSE)</f>
        <v>4.8000000000000001E-2</v>
      </c>
      <c r="N162">
        <f>VLOOKUP($K162,'Refrig Measure Savings'!$A$3:$H$82,6,FALSE)</f>
        <v>420</v>
      </c>
      <c r="O162">
        <f>VLOOKUP($K162,'Refrig Measure Savings'!$A$3:$H$82,8,FALSE)</f>
        <v>0</v>
      </c>
      <c r="P162" t="str">
        <f t="shared" si="7"/>
        <v>S-R2334</v>
      </c>
      <c r="Q162" t="s">
        <v>1111</v>
      </c>
    </row>
    <row r="163" spans="1:17" x14ac:dyDescent="0.25">
      <c r="A163" t="s">
        <v>1253</v>
      </c>
      <c r="B163" s="85" t="s">
        <v>1254</v>
      </c>
      <c r="C163" s="82" t="str">
        <f t="shared" si="8"/>
        <v>S-R2335:  Freezer, Vertical, Solid Door, 30-49 cu ft, ENERGY STAR</v>
      </c>
      <c r="D163" t="s">
        <v>1188</v>
      </c>
      <c r="E163" t="s">
        <v>1189</v>
      </c>
      <c r="F163" t="s">
        <v>1190</v>
      </c>
      <c r="G163" t="s">
        <v>1225</v>
      </c>
      <c r="I163" s="83">
        <v>150</v>
      </c>
      <c r="J163" s="71" t="s">
        <v>1226</v>
      </c>
      <c r="K163">
        <v>2335</v>
      </c>
      <c r="L163" s="84">
        <v>1</v>
      </c>
      <c r="M163">
        <f>VLOOKUP($K163,'Refrig Measure Savings'!$A$3:$H$82,5,FALSE)</f>
        <v>6.3E-2</v>
      </c>
      <c r="N163">
        <f>VLOOKUP($K163,'Refrig Measure Savings'!$A$3:$H$82,6,FALSE)</f>
        <v>553</v>
      </c>
      <c r="O163">
        <f>VLOOKUP($K163,'Refrig Measure Savings'!$A$3:$H$82,8,FALSE)</f>
        <v>0</v>
      </c>
      <c r="P163" t="str">
        <f t="shared" si="7"/>
        <v>S-R2335</v>
      </c>
      <c r="Q163" t="s">
        <v>1111</v>
      </c>
    </row>
    <row r="164" spans="1:17" x14ac:dyDescent="0.25">
      <c r="A164" t="s">
        <v>1255</v>
      </c>
      <c r="B164" s="85" t="s">
        <v>1256</v>
      </c>
      <c r="C164" s="82" t="str">
        <f t="shared" si="8"/>
        <v>S-R2336:  Freezer, Vertical, Solid Door, 50+ cu ft, ENERGY STAR</v>
      </c>
      <c r="D164" t="s">
        <v>1188</v>
      </c>
      <c r="E164" t="s">
        <v>1189</v>
      </c>
      <c r="F164" t="s">
        <v>1190</v>
      </c>
      <c r="G164" t="s">
        <v>1225</v>
      </c>
      <c r="I164" s="83">
        <v>180</v>
      </c>
      <c r="J164" s="71" t="s">
        <v>1226</v>
      </c>
      <c r="K164">
        <v>2336</v>
      </c>
      <c r="L164" s="84">
        <v>1</v>
      </c>
      <c r="M164">
        <f>VLOOKUP($K164,'Refrig Measure Savings'!$A$3:$H$82,5,FALSE)</f>
        <v>8.4000000000000005E-2</v>
      </c>
      <c r="N164">
        <f>VLOOKUP($K164,'Refrig Measure Savings'!$A$3:$H$82,6,FALSE)</f>
        <v>732</v>
      </c>
      <c r="O164">
        <f>VLOOKUP($K164,'Refrig Measure Savings'!$A$3:$H$82,8,FALSE)</f>
        <v>0</v>
      </c>
      <c r="P164" t="str">
        <f t="shared" si="7"/>
        <v>S-R2336</v>
      </c>
      <c r="Q164" t="s">
        <v>1111</v>
      </c>
    </row>
    <row r="165" spans="1:17" x14ac:dyDescent="0.25">
      <c r="A165" t="s">
        <v>1257</v>
      </c>
      <c r="B165" s="85" t="s">
        <v>1258</v>
      </c>
      <c r="C165" s="82" t="str">
        <f t="shared" si="8"/>
        <v>S-R2615:  Vending Machine, Cold Beverage, Not Software Activated, ENERGY STAR</v>
      </c>
      <c r="D165" t="s">
        <v>1259</v>
      </c>
      <c r="E165" t="s">
        <v>1260</v>
      </c>
      <c r="F165" t="s">
        <v>1261</v>
      </c>
      <c r="G165" t="s">
        <v>1262</v>
      </c>
      <c r="I165" s="83">
        <v>80</v>
      </c>
      <c r="J165" s="71" t="s">
        <v>1263</v>
      </c>
      <c r="K165" s="71">
        <v>2615</v>
      </c>
      <c r="L165" s="84">
        <v>1</v>
      </c>
      <c r="M165">
        <f>VLOOKUP($K165,'Refrig Measure Savings'!$A$3:$H$82,5,FALSE)</f>
        <v>0</v>
      </c>
      <c r="N165">
        <f>VLOOKUP($K165,'Refrig Measure Savings'!$A$3:$H$82,6,FALSE)</f>
        <v>1754</v>
      </c>
      <c r="O165">
        <f>VLOOKUP($K165,'Refrig Measure Savings'!$A$3:$H$82,8,FALSE)</f>
        <v>0</v>
      </c>
      <c r="P165" t="str">
        <f t="shared" si="7"/>
        <v>S-R2615</v>
      </c>
      <c r="Q165" t="s">
        <v>1111</v>
      </c>
    </row>
    <row r="166" spans="1:17" x14ac:dyDescent="0.25">
      <c r="A166" t="s">
        <v>1264</v>
      </c>
      <c r="B166" s="85" t="s">
        <v>1265</v>
      </c>
      <c r="C166" s="82" t="str">
        <f t="shared" si="8"/>
        <v>S-R2616:  Vending Machine, Cold Beverage, Software Activated, ENERGY STAR</v>
      </c>
      <c r="D166" t="s">
        <v>1259</v>
      </c>
      <c r="E166" t="s">
        <v>1260</v>
      </c>
      <c r="F166" t="s">
        <v>1261</v>
      </c>
      <c r="G166" t="s">
        <v>1262</v>
      </c>
      <c r="I166" s="83">
        <v>80</v>
      </c>
      <c r="J166" s="71" t="s">
        <v>1263</v>
      </c>
      <c r="K166" s="71">
        <v>2616</v>
      </c>
      <c r="L166" s="84">
        <v>1</v>
      </c>
      <c r="M166">
        <f>VLOOKUP($K166,'Refrig Measure Savings'!$A$3:$H$82,5,FALSE)</f>
        <v>0</v>
      </c>
      <c r="N166">
        <f>VLOOKUP($K166,'Refrig Measure Savings'!$A$3:$H$82,6,FALSE)</f>
        <v>2231</v>
      </c>
      <c r="O166">
        <f>VLOOKUP($K166,'Refrig Measure Savings'!$A$3:$H$82,8,FALSE)</f>
        <v>0</v>
      </c>
      <c r="P166" t="str">
        <f t="shared" si="7"/>
        <v>S-R2616</v>
      </c>
      <c r="Q166" t="s">
        <v>1111</v>
      </c>
    </row>
    <row r="167" spans="1:17" x14ac:dyDescent="0.25">
      <c r="A167" t="s">
        <v>1266</v>
      </c>
      <c r="B167" s="85" t="s">
        <v>1267</v>
      </c>
      <c r="C167" s="82" t="str">
        <f t="shared" si="8"/>
        <v>S-R3906:  Commercial Ice Machine, ENERGY STAR, Ice Making Head</v>
      </c>
      <c r="D167" t="s">
        <v>1188</v>
      </c>
      <c r="E167" t="s">
        <v>1189</v>
      </c>
      <c r="F167" t="s">
        <v>1268</v>
      </c>
      <c r="I167" s="83">
        <v>75</v>
      </c>
      <c r="J167" s="71" t="s">
        <v>1269</v>
      </c>
      <c r="K167">
        <v>3906</v>
      </c>
      <c r="L167" s="84">
        <v>1</v>
      </c>
      <c r="M167">
        <f>VLOOKUP($K167,'Refrig Measure Savings'!$A$3:$H$82,5,FALSE)</f>
        <v>0.1421</v>
      </c>
      <c r="N167">
        <f>VLOOKUP($K167,'Refrig Measure Savings'!$A$3:$H$82,6,FALSE)</f>
        <v>1245</v>
      </c>
      <c r="O167">
        <f>VLOOKUP($K167,'Refrig Measure Savings'!$A$3:$H$82,8,FALSE)</f>
        <v>0</v>
      </c>
      <c r="P167" t="str">
        <f t="shared" si="7"/>
        <v>S-R3906</v>
      </c>
      <c r="Q167" t="s">
        <v>1111</v>
      </c>
    </row>
    <row r="168" spans="1:17" x14ac:dyDescent="0.25">
      <c r="A168" t="s">
        <v>1270</v>
      </c>
      <c r="B168" s="85" t="s">
        <v>1271</v>
      </c>
      <c r="C168" s="82" t="str">
        <f t="shared" si="8"/>
        <v>S-R3907:  Commercial Ice Machine, ENERGY STAR, Remote Condensing Unit</v>
      </c>
      <c r="D168" t="s">
        <v>1188</v>
      </c>
      <c r="E168" t="s">
        <v>1189</v>
      </c>
      <c r="F168" t="s">
        <v>1268</v>
      </c>
      <c r="I168" s="83">
        <v>75</v>
      </c>
      <c r="J168" s="71" t="s">
        <v>1269</v>
      </c>
      <c r="K168">
        <v>3907</v>
      </c>
      <c r="L168" s="84">
        <v>1</v>
      </c>
      <c r="M168">
        <f>VLOOKUP($K168,'Refrig Measure Savings'!$A$3:$H$82,5,FALSE)</f>
        <v>0.33850000000000002</v>
      </c>
      <c r="N168">
        <f>VLOOKUP($K168,'Refrig Measure Savings'!$A$3:$H$82,6,FALSE)</f>
        <v>2966</v>
      </c>
      <c r="O168">
        <f>VLOOKUP($K168,'Refrig Measure Savings'!$A$3:$H$82,8,FALSE)</f>
        <v>0</v>
      </c>
      <c r="P168" t="str">
        <f t="shared" si="7"/>
        <v>S-R3907</v>
      </c>
      <c r="Q168" t="s">
        <v>1111</v>
      </c>
    </row>
    <row r="169" spans="1:17" x14ac:dyDescent="0.25">
      <c r="A169" t="s">
        <v>1272</v>
      </c>
      <c r="B169" s="85" t="s">
        <v>1273</v>
      </c>
      <c r="C169" s="82" t="str">
        <f t="shared" si="8"/>
        <v>S-R3908:  Commercial Ice Machine, ENERGY STAR, Self-Contained Unit</v>
      </c>
      <c r="D169" t="s">
        <v>1188</v>
      </c>
      <c r="E169" t="s">
        <v>1189</v>
      </c>
      <c r="F169" t="s">
        <v>1268</v>
      </c>
      <c r="I169" s="83">
        <v>75</v>
      </c>
      <c r="J169" s="71" t="s">
        <v>1269</v>
      </c>
      <c r="K169">
        <v>3908</v>
      </c>
      <c r="L169" s="84">
        <v>1</v>
      </c>
      <c r="M169">
        <f>VLOOKUP($K169,'Refrig Measure Savings'!$A$3:$H$82,5,FALSE)</f>
        <v>7.7700000000000005E-2</v>
      </c>
      <c r="N169">
        <f>VLOOKUP($K169,'Refrig Measure Savings'!$A$3:$H$82,6,FALSE)</f>
        <v>680</v>
      </c>
      <c r="O169">
        <f>VLOOKUP($K169,'Refrig Measure Savings'!$A$3:$H$82,8,FALSE)</f>
        <v>0</v>
      </c>
      <c r="P169" t="str">
        <f t="shared" si="7"/>
        <v>S-R3908</v>
      </c>
      <c r="Q169" t="s">
        <v>1111</v>
      </c>
    </row>
    <row r="170" spans="1:17" x14ac:dyDescent="0.25">
      <c r="B170" s="81" t="s">
        <v>1274</v>
      </c>
      <c r="C170" s="82" t="str">
        <f t="shared" si="8"/>
        <v>-----------------------COMMERCIAL REFRIGERATION CATALOG: CONTROLS-----------------------</v>
      </c>
      <c r="I170" s="83"/>
      <c r="J170" s="70"/>
      <c r="K170" s="70"/>
      <c r="L170" s="70"/>
    </row>
    <row r="171" spans="1:17" x14ac:dyDescent="0.25">
      <c r="A171" t="s">
        <v>1275</v>
      </c>
      <c r="B171" s="85" t="s">
        <v>1276</v>
      </c>
      <c r="C171" s="82" t="str">
        <f t="shared" si="8"/>
        <v>S-R2197:  Anti-Sweat Heater Controls, Freezer Case, Low-Heat Door</v>
      </c>
      <c r="D171" t="s">
        <v>1277</v>
      </c>
      <c r="E171" t="s">
        <v>1278</v>
      </c>
      <c r="F171" t="s">
        <v>1279</v>
      </c>
      <c r="G171" t="s">
        <v>1280</v>
      </c>
      <c r="H171" t="s">
        <v>1281</v>
      </c>
      <c r="I171" s="83">
        <v>80</v>
      </c>
      <c r="J171" s="71" t="s">
        <v>1110</v>
      </c>
      <c r="K171" s="71">
        <v>2197</v>
      </c>
      <c r="L171" s="84">
        <v>1</v>
      </c>
      <c r="M171">
        <f>VLOOKUP($K171,'Refrig Measure Savings'!$A$3:$H$82,5,FALSE)</f>
        <v>2.3E-2</v>
      </c>
      <c r="N171">
        <f>VLOOKUP($K171,'Refrig Measure Savings'!$A$3:$H$82,6,FALSE)</f>
        <v>922</v>
      </c>
      <c r="O171">
        <f>VLOOKUP($K171,'Refrig Measure Savings'!$A$3:$H$82,8,FALSE)</f>
        <v>0</v>
      </c>
      <c r="P171" t="str">
        <f t="shared" si="7"/>
        <v>S-R2197</v>
      </c>
      <c r="Q171" t="s">
        <v>1111</v>
      </c>
    </row>
    <row r="172" spans="1:17" x14ac:dyDescent="0.25">
      <c r="A172" t="s">
        <v>1282</v>
      </c>
      <c r="B172" s="85" t="s">
        <v>1283</v>
      </c>
      <c r="C172" s="82" t="str">
        <f t="shared" si="8"/>
        <v>S-R2198:  Anti-Sweat Heater Controls, Freezer Case, No-Heat Door</v>
      </c>
      <c r="D172" t="s">
        <v>1277</v>
      </c>
      <c r="E172" t="s">
        <v>1278</v>
      </c>
      <c r="F172" t="s">
        <v>1284</v>
      </c>
      <c r="G172" t="s">
        <v>1280</v>
      </c>
      <c r="H172" t="s">
        <v>1281</v>
      </c>
      <c r="I172" s="83">
        <v>80</v>
      </c>
      <c r="J172" s="71" t="s">
        <v>1110</v>
      </c>
      <c r="K172">
        <v>2198</v>
      </c>
      <c r="L172" s="84">
        <v>1</v>
      </c>
      <c r="M172">
        <f>VLOOKUP($K172,'Refrig Measure Savings'!$A$3:$H$82,5,FALSE)</f>
        <v>8.9999999999999993E-3</v>
      </c>
      <c r="N172">
        <f>VLOOKUP($K172,'Refrig Measure Savings'!$A$3:$H$82,6,FALSE)</f>
        <v>377</v>
      </c>
      <c r="O172">
        <f>VLOOKUP($K172,'Refrig Measure Savings'!$A$3:$H$82,8,FALSE)</f>
        <v>0</v>
      </c>
      <c r="P172" t="str">
        <f t="shared" si="7"/>
        <v>S-R2198</v>
      </c>
      <c r="Q172" t="s">
        <v>1111</v>
      </c>
    </row>
    <row r="173" spans="1:17" x14ac:dyDescent="0.25">
      <c r="A173" t="s">
        <v>1285</v>
      </c>
      <c r="B173" s="85" t="s">
        <v>1286</v>
      </c>
      <c r="C173" s="82" t="str">
        <f t="shared" si="8"/>
        <v>S-R2199:  Anti-Sweat Heater Controls, Freezer Case, Standard Door</v>
      </c>
      <c r="D173" t="s">
        <v>1277</v>
      </c>
      <c r="E173" t="s">
        <v>1278</v>
      </c>
      <c r="F173" t="s">
        <v>1287</v>
      </c>
      <c r="G173" t="s">
        <v>1280</v>
      </c>
      <c r="H173" t="s">
        <v>1281</v>
      </c>
      <c r="I173" s="83">
        <v>80</v>
      </c>
      <c r="J173" s="71" t="s">
        <v>1110</v>
      </c>
      <c r="K173">
        <v>2199</v>
      </c>
      <c r="L173" s="84">
        <v>1</v>
      </c>
      <c r="M173">
        <f>VLOOKUP($K173,'Refrig Measure Savings'!$A$3:$H$82,5,FALSE)</f>
        <v>3.3000000000000002E-2</v>
      </c>
      <c r="N173">
        <f>VLOOKUP($K173,'Refrig Measure Savings'!$A$3:$H$82,6,FALSE)</f>
        <v>1334</v>
      </c>
      <c r="O173">
        <f>VLOOKUP($K173,'Refrig Measure Savings'!$A$3:$H$82,8,FALSE)</f>
        <v>0</v>
      </c>
      <c r="P173" t="str">
        <f t="shared" si="7"/>
        <v>S-R2199</v>
      </c>
      <c r="Q173" t="s">
        <v>1111</v>
      </c>
    </row>
    <row r="174" spans="1:17" x14ac:dyDescent="0.25">
      <c r="A174" t="s">
        <v>1288</v>
      </c>
      <c r="B174" s="85" t="s">
        <v>1289</v>
      </c>
      <c r="C174" s="82" t="str">
        <f t="shared" si="8"/>
        <v>S-R2200:  Anti-Sweat Heater Controls, Refrigerated Case, Low-Heat or No-Heat Door</v>
      </c>
      <c r="D174" t="s">
        <v>1277</v>
      </c>
      <c r="E174" t="s">
        <v>1278</v>
      </c>
      <c r="F174" t="s">
        <v>1290</v>
      </c>
      <c r="G174" t="s">
        <v>1280</v>
      </c>
      <c r="H174" t="s">
        <v>1281</v>
      </c>
      <c r="I174" s="83">
        <v>80</v>
      </c>
      <c r="J174" s="71" t="s">
        <v>1110</v>
      </c>
      <c r="K174">
        <v>2200</v>
      </c>
      <c r="L174" s="84">
        <v>1</v>
      </c>
      <c r="M174">
        <f>VLOOKUP($K174,'Refrig Measure Savings'!$A$3:$H$82,5,FALSE)</f>
        <v>8.9999999999999993E-3</v>
      </c>
      <c r="N174">
        <f>VLOOKUP($K174,'Refrig Measure Savings'!$A$3:$H$82,6,FALSE)</f>
        <v>562</v>
      </c>
      <c r="O174">
        <f>VLOOKUP($K174,'Refrig Measure Savings'!$A$3:$H$82,8,FALSE)</f>
        <v>0</v>
      </c>
      <c r="P174" t="str">
        <f t="shared" si="7"/>
        <v>S-R2200</v>
      </c>
      <c r="Q174" t="s">
        <v>1111</v>
      </c>
    </row>
    <row r="175" spans="1:17" x14ac:dyDescent="0.25">
      <c r="A175" t="s">
        <v>1291</v>
      </c>
      <c r="B175" s="85" t="s">
        <v>1292</v>
      </c>
      <c r="C175" s="82" t="str">
        <f t="shared" si="8"/>
        <v>S-R2201:  Anti-Sweat Heater Controls, Refrigerated Case, Standard Door</v>
      </c>
      <c r="D175" t="s">
        <v>1277</v>
      </c>
      <c r="E175" t="s">
        <v>1278</v>
      </c>
      <c r="F175" t="s">
        <v>1293</v>
      </c>
      <c r="G175" t="s">
        <v>1280</v>
      </c>
      <c r="H175" t="s">
        <v>1281</v>
      </c>
      <c r="I175" s="83">
        <v>80</v>
      </c>
      <c r="J175" s="71" t="s">
        <v>1110</v>
      </c>
      <c r="K175">
        <v>2201</v>
      </c>
      <c r="L175" s="84">
        <v>1</v>
      </c>
      <c r="M175">
        <f>VLOOKUP($K175,'Refrig Measure Savings'!$A$3:$H$82,5,FALSE)</f>
        <v>1.6E-2</v>
      </c>
      <c r="N175">
        <f>VLOOKUP($K175,'Refrig Measure Savings'!$A$3:$H$82,6,FALSE)</f>
        <v>1017</v>
      </c>
      <c r="O175">
        <f>VLOOKUP($K175,'Refrig Measure Savings'!$A$3:$H$82,8,FALSE)</f>
        <v>0</v>
      </c>
      <c r="P175" t="str">
        <f t="shared" si="7"/>
        <v>S-R2201</v>
      </c>
      <c r="Q175" t="s">
        <v>1111</v>
      </c>
    </row>
    <row r="176" spans="1:17" x14ac:dyDescent="0.25">
      <c r="A176" t="s">
        <v>1294</v>
      </c>
      <c r="B176" s="81" t="s">
        <v>1295</v>
      </c>
      <c r="C176" s="82" t="str">
        <f t="shared" si="8"/>
        <v>S-R2269:  Evaporator Fan Control for Walk-in Cooler/Freezer</v>
      </c>
      <c r="D176" t="s">
        <v>1296</v>
      </c>
      <c r="E176" t="s">
        <v>1297</v>
      </c>
      <c r="F176" t="s">
        <v>1298</v>
      </c>
      <c r="G176" t="s">
        <v>1299</v>
      </c>
      <c r="I176" s="83">
        <v>60</v>
      </c>
      <c r="J176" s="71" t="s">
        <v>1300</v>
      </c>
      <c r="K176" s="71">
        <v>2269</v>
      </c>
      <c r="L176" s="84">
        <v>1</v>
      </c>
      <c r="M176">
        <f>VLOOKUP($K176,'Refrig Measure Savings'!$A$3:$H$82,5,FALSE)</f>
        <v>8.4000000000000005E-2</v>
      </c>
      <c r="N176">
        <f>VLOOKUP($K176,'Refrig Measure Savings'!$A$3:$H$82,6,FALSE)</f>
        <v>716</v>
      </c>
      <c r="O176">
        <f>VLOOKUP($K176,'Refrig Measure Savings'!$A$3:$H$82,8,FALSE)</f>
        <v>0</v>
      </c>
      <c r="P176" t="str">
        <f t="shared" si="7"/>
        <v>S-R2269</v>
      </c>
      <c r="Q176" t="s">
        <v>1111</v>
      </c>
    </row>
    <row r="177" spans="1:17" x14ac:dyDescent="0.25">
      <c r="A177" t="s">
        <v>1301</v>
      </c>
      <c r="B177" s="81" t="s">
        <v>1302</v>
      </c>
      <c r="C177" s="82" t="str">
        <f t="shared" si="8"/>
        <v>S-R4759:  Evaporator Fan Control for Reach-in Cooler/Freezer</v>
      </c>
      <c r="I177" s="83">
        <v>60</v>
      </c>
      <c r="J177" s="71" t="s">
        <v>1300</v>
      </c>
      <c r="K177" s="71">
        <v>4759</v>
      </c>
      <c r="L177" s="84">
        <v>1</v>
      </c>
      <c r="M177">
        <f>VLOOKUP($K177,'Refrig Measure Savings'!$A$3:$H$82,5,FALSE)</f>
        <v>4.9000000000000002E-2</v>
      </c>
      <c r="N177">
        <f>VLOOKUP($K177,'Refrig Measure Savings'!$A$3:$H$82,6,FALSE)</f>
        <v>414</v>
      </c>
      <c r="O177">
        <f>VLOOKUP($K177,'Refrig Measure Savings'!$A$3:$H$82,8,FALSE)</f>
        <v>0</v>
      </c>
      <c r="P177" t="str">
        <f t="shared" si="7"/>
        <v>S-R4759</v>
      </c>
      <c r="Q177" t="s">
        <v>1111</v>
      </c>
    </row>
    <row r="178" spans="1:17" x14ac:dyDescent="0.25">
      <c r="A178" t="s">
        <v>1303</v>
      </c>
      <c r="B178" s="81" t="s">
        <v>1304</v>
      </c>
      <c r="C178" s="82" t="str">
        <f t="shared" si="8"/>
        <v>S-R4758:  Freezer Demand Defrost</v>
      </c>
      <c r="I178" s="83">
        <v>20</v>
      </c>
      <c r="J178" s="71" t="s">
        <v>1305</v>
      </c>
      <c r="K178" s="71">
        <v>4758</v>
      </c>
      <c r="L178" s="84">
        <v>1</v>
      </c>
      <c r="M178">
        <f>VLOOKUP($K178,'Refrig Measure Savings'!$A$3:$H$82,5,FALSE)</f>
        <v>0.02</v>
      </c>
      <c r="N178">
        <f>VLOOKUP($K178,'Refrig Measure Savings'!$A$3:$H$82,6,FALSE)</f>
        <v>176</v>
      </c>
      <c r="O178">
        <f>VLOOKUP($K178,'Refrig Measure Savings'!$A$3:$H$82,8,FALSE)</f>
        <v>0</v>
      </c>
      <c r="P178" t="str">
        <f t="shared" si="7"/>
        <v>S-R4758</v>
      </c>
      <c r="Q178" t="s">
        <v>1111</v>
      </c>
    </row>
    <row r="179" spans="1:17" x14ac:dyDescent="0.25">
      <c r="A179" t="s">
        <v>1306</v>
      </c>
      <c r="B179" s="85" t="s">
        <v>1307</v>
      </c>
      <c r="C179" s="82" t="str">
        <f t="shared" si="8"/>
        <v>S-R2482:  Occupancy Sensor, LED Refrigerated Case Lights</v>
      </c>
      <c r="D179" t="s">
        <v>1308</v>
      </c>
      <c r="E179" t="s">
        <v>1309</v>
      </c>
      <c r="F179" t="s">
        <v>1310</v>
      </c>
      <c r="G179" t="s">
        <v>1311</v>
      </c>
      <c r="I179" s="83">
        <v>15</v>
      </c>
      <c r="J179" s="71" t="s">
        <v>1110</v>
      </c>
      <c r="K179" s="71">
        <v>2482</v>
      </c>
      <c r="L179" s="84">
        <v>1</v>
      </c>
      <c r="M179">
        <f>VLOOKUP($K179,'Refrig Measure Savings'!$A$3:$H$82,5,FALSE)</f>
        <v>1.2999999999999999E-2</v>
      </c>
      <c r="N179">
        <f>VLOOKUP($K179,'Refrig Measure Savings'!$A$3:$H$82,6,FALSE)</f>
        <v>112</v>
      </c>
      <c r="O179">
        <f>VLOOKUP($K179,'Refrig Measure Savings'!$A$3:$H$82,8,FALSE)</f>
        <v>0</v>
      </c>
      <c r="P179" t="str">
        <f t="shared" si="7"/>
        <v>S-R2482</v>
      </c>
      <c r="Q179" t="s">
        <v>1111</v>
      </c>
    </row>
    <row r="180" spans="1:17" x14ac:dyDescent="0.25">
      <c r="A180" t="s">
        <v>1312</v>
      </c>
      <c r="B180" s="81" t="s">
        <v>1313</v>
      </c>
      <c r="C180" s="82" t="str">
        <f t="shared" si="8"/>
        <v>S-R4360:  Refrigeration Controls, Floating Head Pressure</v>
      </c>
      <c r="D180" t="s">
        <v>1314</v>
      </c>
      <c r="E180" t="s">
        <v>1315</v>
      </c>
      <c r="F180" t="s">
        <v>1316</v>
      </c>
      <c r="G180" t="s">
        <v>1317</v>
      </c>
      <c r="I180" s="83">
        <v>15</v>
      </c>
      <c r="J180" s="71" t="s">
        <v>1318</v>
      </c>
      <c r="K180" s="71">
        <v>4360</v>
      </c>
      <c r="L180" s="84">
        <v>1</v>
      </c>
      <c r="M180">
        <f>VLOOKUP($K180,'Refrig Measure Savings'!$A$3:$H$82,5,FALSE)</f>
        <v>0</v>
      </c>
      <c r="N180">
        <f>VLOOKUP($K180,'Refrig Measure Savings'!$A$3:$H$82,6,FALSE)</f>
        <v>639</v>
      </c>
      <c r="O180">
        <f>VLOOKUP($K180,'Refrig Measure Savings'!$A$3:$H$82,8,FALSE)</f>
        <v>0</v>
      </c>
      <c r="P180" t="str">
        <f t="shared" si="7"/>
        <v>S-R4360</v>
      </c>
      <c r="Q180" t="s">
        <v>1111</v>
      </c>
    </row>
    <row r="181" spans="1:17" x14ac:dyDescent="0.25">
      <c r="A181" t="s">
        <v>1319</v>
      </c>
      <c r="B181" s="85" t="s">
        <v>1320</v>
      </c>
      <c r="C181" s="82" t="str">
        <f t="shared" si="8"/>
        <v>S-R2202:  Beverage Cooler Controls</v>
      </c>
      <c r="D181" t="s">
        <v>1321</v>
      </c>
      <c r="E181" t="s">
        <v>1322</v>
      </c>
      <c r="F181" t="s">
        <v>1323</v>
      </c>
      <c r="G181" t="s">
        <v>1324</v>
      </c>
      <c r="H181" t="s">
        <v>1325</v>
      </c>
      <c r="I181" s="83">
        <v>40</v>
      </c>
      <c r="J181" s="71" t="s">
        <v>1326</v>
      </c>
      <c r="K181" s="71">
        <v>2202</v>
      </c>
      <c r="L181" s="84">
        <v>1</v>
      </c>
      <c r="M181">
        <f>VLOOKUP($K181,'Refrig Measure Savings'!$A$3:$H$82,5,FALSE)</f>
        <v>0</v>
      </c>
      <c r="N181">
        <f>VLOOKUP($K181,'Refrig Measure Savings'!$A$3:$H$82,6,FALSE)</f>
        <v>258</v>
      </c>
      <c r="O181">
        <f>VLOOKUP($K181,'Refrig Measure Savings'!$A$3:$H$82,8,FALSE)</f>
        <v>0</v>
      </c>
      <c r="P181" t="str">
        <f t="shared" si="7"/>
        <v>S-R2202</v>
      </c>
      <c r="Q181" t="s">
        <v>1111</v>
      </c>
    </row>
    <row r="182" spans="1:17" x14ac:dyDescent="0.25">
      <c r="A182" t="s">
        <v>1327</v>
      </c>
      <c r="B182" s="85" t="s">
        <v>1328</v>
      </c>
      <c r="C182" s="82" t="str">
        <f t="shared" si="8"/>
        <v>S-R2611:  Vending Machine Controls, Occupancy Based, Cold Beverage Machine</v>
      </c>
      <c r="D182" t="s">
        <v>1329</v>
      </c>
      <c r="E182" t="s">
        <v>1330</v>
      </c>
      <c r="I182" s="83">
        <v>80</v>
      </c>
      <c r="J182" s="71" t="s">
        <v>1331</v>
      </c>
      <c r="K182" s="71">
        <v>2611</v>
      </c>
      <c r="L182" s="84">
        <v>1</v>
      </c>
      <c r="M182">
        <f>VLOOKUP($K182,'Refrig Measure Savings'!$A$3:$H$82,5,FALSE)</f>
        <v>0</v>
      </c>
      <c r="N182">
        <f>VLOOKUP($K182,'Refrig Measure Savings'!$A$3:$H$82,6,FALSE)</f>
        <v>294</v>
      </c>
      <c r="O182">
        <f>VLOOKUP($K182,'Refrig Measure Savings'!$A$3:$H$82,8,FALSE)</f>
        <v>0</v>
      </c>
      <c r="P182" t="str">
        <f t="shared" si="7"/>
        <v>S-R2611</v>
      </c>
      <c r="Q182" t="s">
        <v>1111</v>
      </c>
    </row>
    <row r="183" spans="1:17" x14ac:dyDescent="0.25">
      <c r="A183" t="s">
        <v>1332</v>
      </c>
      <c r="B183" s="85" t="s">
        <v>1333</v>
      </c>
      <c r="C183" s="82" t="str">
        <f t="shared" si="8"/>
        <v>S-R2612:  Vending Machine Controls, Occupancy Based, Snack Machine</v>
      </c>
      <c r="D183" t="s">
        <v>1329</v>
      </c>
      <c r="E183" t="s">
        <v>1330</v>
      </c>
      <c r="I183" s="83">
        <v>20</v>
      </c>
      <c r="J183" s="71" t="s">
        <v>1331</v>
      </c>
      <c r="K183" s="71">
        <v>2612</v>
      </c>
      <c r="L183" s="84">
        <v>1</v>
      </c>
      <c r="M183">
        <f>VLOOKUP($K183,'Refrig Measure Savings'!$A$3:$H$82,5,FALSE)</f>
        <v>0</v>
      </c>
      <c r="N183">
        <f>VLOOKUP($K183,'Refrig Measure Savings'!$A$3:$H$82,6,FALSE)</f>
        <v>29</v>
      </c>
      <c r="O183">
        <f>VLOOKUP($K183,'Refrig Measure Savings'!$A$3:$H$82,8,FALSE)</f>
        <v>0</v>
      </c>
      <c r="P183" t="str">
        <f t="shared" si="7"/>
        <v>S-R2612</v>
      </c>
      <c r="Q183" t="s">
        <v>1111</v>
      </c>
    </row>
    <row r="184" spans="1:17" x14ac:dyDescent="0.25">
      <c r="A184" t="s">
        <v>1334</v>
      </c>
      <c r="B184" s="85" t="s">
        <v>1335</v>
      </c>
      <c r="C184" s="82" t="str">
        <f t="shared" si="8"/>
        <v>S-R2613:  Vending Machine Controls, Sales Based, Cold Beverage Machine</v>
      </c>
      <c r="D184" t="s">
        <v>1336</v>
      </c>
      <c r="E184" t="s">
        <v>1330</v>
      </c>
      <c r="I184" s="83">
        <v>80</v>
      </c>
      <c r="J184" s="71" t="s">
        <v>1331</v>
      </c>
      <c r="K184" s="71">
        <v>2613</v>
      </c>
      <c r="L184" s="84">
        <v>1</v>
      </c>
      <c r="M184">
        <f>VLOOKUP($K184,'Refrig Measure Savings'!$A$3:$H$82,5,FALSE)</f>
        <v>0</v>
      </c>
      <c r="N184">
        <f>VLOOKUP($K184,'Refrig Measure Savings'!$A$3:$H$82,6,FALSE)</f>
        <v>264</v>
      </c>
      <c r="O184">
        <f>VLOOKUP($K184,'Refrig Measure Savings'!$A$3:$H$82,8,FALSE)</f>
        <v>0</v>
      </c>
      <c r="P184" t="str">
        <f t="shared" si="7"/>
        <v>S-R2613</v>
      </c>
      <c r="Q184" t="s">
        <v>1111</v>
      </c>
    </row>
    <row r="185" spans="1:17" x14ac:dyDescent="0.25">
      <c r="C185" s="82"/>
    </row>
    <row r="189" spans="1:17" x14ac:dyDescent="0.25">
      <c r="C189" s="82"/>
      <c r="L189" s="70"/>
    </row>
    <row r="190" spans="1:17" x14ac:dyDescent="0.25">
      <c r="C190" s="82"/>
      <c r="L190" s="70"/>
    </row>
    <row r="191" spans="1:17" x14ac:dyDescent="0.25">
      <c r="C191" s="82"/>
      <c r="L191" s="70"/>
    </row>
    <row r="192" spans="1:17" x14ac:dyDescent="0.25">
      <c r="C192" s="82"/>
      <c r="L192" s="70"/>
    </row>
  </sheetData>
  <autoFilter ref="A2:L184" xr:uid="{00000000-0009-0000-0000-000003000000}"/>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86"/>
  <sheetViews>
    <sheetView zoomScale="80" zoomScaleNormal="80" workbookViewId="0">
      <pane xSplit="1" ySplit="2" topLeftCell="B27" activePane="bottomRight" state="frozen"/>
      <selection pane="topRight" activeCell="A29" sqref="A29"/>
      <selection pane="bottomLeft" activeCell="A29" sqref="A29"/>
      <selection pane="bottomRight" activeCell="C2" sqref="C2"/>
    </sheetView>
  </sheetViews>
  <sheetFormatPr defaultRowHeight="15" x14ac:dyDescent="0.25"/>
  <cols>
    <col min="1" max="1" width="12" customWidth="1"/>
    <col min="2" max="2" width="81.5703125" bestFit="1" customWidth="1"/>
    <col min="3" max="3" width="89.5703125" bestFit="1" customWidth="1"/>
    <col min="4" max="4" width="15" bestFit="1" customWidth="1"/>
    <col min="5" max="5" width="15.42578125" customWidth="1"/>
    <col min="6" max="6" width="13.28515625" customWidth="1"/>
    <col min="7" max="7" width="13.5703125" customWidth="1"/>
    <col min="8" max="8" width="16.85546875" customWidth="1"/>
    <col min="9" max="9" width="15" customWidth="1"/>
    <col min="10" max="10" width="19.7109375" customWidth="1"/>
    <col min="11" max="11" width="14.5703125" customWidth="1"/>
    <col min="12" max="12" width="7.28515625" bestFit="1" customWidth="1"/>
    <col min="13" max="13" width="17.42578125" customWidth="1"/>
  </cols>
  <sheetData>
    <row r="1" spans="1:13" x14ac:dyDescent="0.25">
      <c r="A1" s="322" t="s">
        <v>1337</v>
      </c>
      <c r="C1" s="323" t="s">
        <v>1338</v>
      </c>
    </row>
    <row r="2" spans="1:13" s="237" customFormat="1" ht="30" x14ac:dyDescent="0.25">
      <c r="A2" s="237" t="s">
        <v>1339</v>
      </c>
      <c r="B2" s="237" t="s">
        <v>1340</v>
      </c>
      <c r="C2" s="237" t="s">
        <v>1341</v>
      </c>
      <c r="D2" s="237" t="s">
        <v>1342</v>
      </c>
      <c r="E2" s="237" t="s">
        <v>1343</v>
      </c>
      <c r="F2" s="237" t="s">
        <v>1344</v>
      </c>
      <c r="G2" s="237" t="s">
        <v>1345</v>
      </c>
      <c r="H2" s="237" t="s">
        <v>1346</v>
      </c>
      <c r="I2" s="237" t="s">
        <v>1347</v>
      </c>
      <c r="J2" s="237" t="s">
        <v>1348</v>
      </c>
      <c r="K2" s="237" t="s">
        <v>1349</v>
      </c>
      <c r="L2" s="237" t="s">
        <v>1350</v>
      </c>
      <c r="M2" s="237" t="s">
        <v>1351</v>
      </c>
    </row>
    <row r="3" spans="1:13" x14ac:dyDescent="0.25">
      <c r="A3" s="221">
        <v>2150</v>
      </c>
      <c r="B3" s="352" t="s">
        <v>1352</v>
      </c>
      <c r="C3" t="s">
        <v>1352</v>
      </c>
      <c r="D3" t="s">
        <v>1353</v>
      </c>
      <c r="E3">
        <v>0</v>
      </c>
      <c r="F3">
        <v>1036</v>
      </c>
      <c r="G3">
        <v>9324</v>
      </c>
      <c r="H3">
        <v>0</v>
      </c>
      <c r="I3">
        <v>0</v>
      </c>
      <c r="J3">
        <v>9</v>
      </c>
      <c r="K3" t="s">
        <v>105</v>
      </c>
      <c r="L3" t="s">
        <v>1354</v>
      </c>
      <c r="M3" t="s">
        <v>1355</v>
      </c>
    </row>
    <row r="4" spans="1:13" x14ac:dyDescent="0.25">
      <c r="A4" s="352">
        <v>2197</v>
      </c>
      <c r="B4" s="352" t="s">
        <v>1356</v>
      </c>
      <c r="C4" t="s">
        <v>1356</v>
      </c>
      <c r="D4" t="s">
        <v>1353</v>
      </c>
      <c r="E4">
        <v>2.3E-2</v>
      </c>
      <c r="F4">
        <v>922</v>
      </c>
      <c r="G4">
        <v>11061</v>
      </c>
      <c r="J4">
        <v>12</v>
      </c>
      <c r="K4" t="s">
        <v>105</v>
      </c>
      <c r="L4" t="s">
        <v>1354</v>
      </c>
      <c r="M4" t="s">
        <v>1355</v>
      </c>
    </row>
    <row r="5" spans="1:13" x14ac:dyDescent="0.25">
      <c r="A5" s="352">
        <v>2198</v>
      </c>
      <c r="B5" s="352" t="s">
        <v>1357</v>
      </c>
      <c r="C5" t="s">
        <v>1357</v>
      </c>
      <c r="D5" t="s">
        <v>1353</v>
      </c>
      <c r="E5">
        <v>8.9999999999999993E-3</v>
      </c>
      <c r="F5">
        <v>377</v>
      </c>
      <c r="G5">
        <v>4525</v>
      </c>
      <c r="J5">
        <v>12</v>
      </c>
      <c r="K5" t="s">
        <v>105</v>
      </c>
      <c r="L5" t="s">
        <v>1354</v>
      </c>
      <c r="M5" t="s">
        <v>1355</v>
      </c>
    </row>
    <row r="6" spans="1:13" x14ac:dyDescent="0.25">
      <c r="A6" s="352">
        <v>2199</v>
      </c>
      <c r="B6" s="352" t="s">
        <v>1358</v>
      </c>
      <c r="C6" t="s">
        <v>1358</v>
      </c>
      <c r="D6" t="s">
        <v>1353</v>
      </c>
      <c r="E6">
        <v>3.3000000000000002E-2</v>
      </c>
      <c r="F6">
        <v>1334</v>
      </c>
      <c r="G6">
        <v>16005</v>
      </c>
      <c r="J6">
        <v>12</v>
      </c>
      <c r="K6" t="s">
        <v>105</v>
      </c>
      <c r="L6" t="s">
        <v>1354</v>
      </c>
      <c r="M6" t="s">
        <v>1355</v>
      </c>
    </row>
    <row r="7" spans="1:13" x14ac:dyDescent="0.25">
      <c r="A7" s="352">
        <v>2200</v>
      </c>
      <c r="B7" s="352" t="s">
        <v>1359</v>
      </c>
      <c r="C7" t="s">
        <v>1359</v>
      </c>
      <c r="D7" t="s">
        <v>1353</v>
      </c>
      <c r="E7">
        <v>8.9999999999999993E-3</v>
      </c>
      <c r="F7">
        <v>562</v>
      </c>
      <c r="G7">
        <v>6743</v>
      </c>
      <c r="J7">
        <v>12</v>
      </c>
      <c r="K7" t="s">
        <v>105</v>
      </c>
      <c r="L7" t="s">
        <v>1354</v>
      </c>
      <c r="M7" t="s">
        <v>1355</v>
      </c>
    </row>
    <row r="8" spans="1:13" x14ac:dyDescent="0.25">
      <c r="A8" s="352">
        <v>2201</v>
      </c>
      <c r="B8" s="352" t="s">
        <v>1360</v>
      </c>
      <c r="C8" t="s">
        <v>1360</v>
      </c>
      <c r="D8" t="s">
        <v>1353</v>
      </c>
      <c r="E8">
        <v>1.6E-2</v>
      </c>
      <c r="F8">
        <v>1017</v>
      </c>
      <c r="G8">
        <v>12198</v>
      </c>
      <c r="J8">
        <v>12</v>
      </c>
      <c r="K8" t="s">
        <v>105</v>
      </c>
      <c r="L8" t="s">
        <v>1354</v>
      </c>
      <c r="M8" t="s">
        <v>1355</v>
      </c>
    </row>
    <row r="9" spans="1:13" x14ac:dyDescent="0.25">
      <c r="A9" s="352">
        <v>2202</v>
      </c>
      <c r="B9" s="352" t="s">
        <v>1361</v>
      </c>
      <c r="C9" t="s">
        <v>1361</v>
      </c>
      <c r="D9" t="s">
        <v>1353</v>
      </c>
      <c r="E9">
        <v>0</v>
      </c>
      <c r="F9">
        <v>258</v>
      </c>
      <c r="G9">
        <v>1290</v>
      </c>
      <c r="J9">
        <v>5</v>
      </c>
      <c r="K9" t="s">
        <v>1362</v>
      </c>
      <c r="L9" t="s">
        <v>1354</v>
      </c>
      <c r="M9" t="s">
        <v>1355</v>
      </c>
    </row>
    <row r="10" spans="1:13" x14ac:dyDescent="0.25">
      <c r="A10" s="352">
        <v>2234</v>
      </c>
      <c r="B10" s="352" t="s">
        <v>1363</v>
      </c>
      <c r="C10" t="s">
        <v>1363</v>
      </c>
      <c r="D10" t="s">
        <v>1353</v>
      </c>
      <c r="E10">
        <v>0.1</v>
      </c>
      <c r="F10">
        <v>886</v>
      </c>
      <c r="G10">
        <v>9746</v>
      </c>
      <c r="J10">
        <v>11</v>
      </c>
      <c r="K10" t="s">
        <v>1362</v>
      </c>
      <c r="L10" t="s">
        <v>1354</v>
      </c>
      <c r="M10" t="s">
        <v>1355</v>
      </c>
    </row>
    <row r="11" spans="1:13" x14ac:dyDescent="0.25">
      <c r="A11" s="352">
        <v>2235</v>
      </c>
      <c r="B11" s="352" t="s">
        <v>1364</v>
      </c>
      <c r="C11" t="s">
        <v>1364</v>
      </c>
      <c r="D11" t="s">
        <v>1353</v>
      </c>
      <c r="E11">
        <v>0.23</v>
      </c>
      <c r="F11">
        <v>2057</v>
      </c>
      <c r="G11">
        <v>22631</v>
      </c>
      <c r="J11">
        <v>11</v>
      </c>
      <c r="K11" t="s">
        <v>1362</v>
      </c>
      <c r="L11" t="s">
        <v>1354</v>
      </c>
      <c r="M11" t="s">
        <v>1355</v>
      </c>
    </row>
    <row r="12" spans="1:13" x14ac:dyDescent="0.25">
      <c r="A12" s="352">
        <v>2236</v>
      </c>
      <c r="B12" s="352" t="s">
        <v>1365</v>
      </c>
      <c r="C12" t="s">
        <v>1365</v>
      </c>
      <c r="D12" t="s">
        <v>1353</v>
      </c>
      <c r="E12">
        <v>1.6E-2</v>
      </c>
      <c r="F12">
        <v>138</v>
      </c>
      <c r="G12">
        <v>1521</v>
      </c>
      <c r="J12">
        <v>11</v>
      </c>
      <c r="K12" t="s">
        <v>105</v>
      </c>
      <c r="L12" t="s">
        <v>1354</v>
      </c>
      <c r="M12" t="s">
        <v>1355</v>
      </c>
    </row>
    <row r="13" spans="1:13" x14ac:dyDescent="0.25">
      <c r="A13" s="352">
        <v>2269</v>
      </c>
      <c r="B13" s="352" t="s">
        <v>1366</v>
      </c>
      <c r="C13" t="s">
        <v>1366</v>
      </c>
      <c r="D13" t="s">
        <v>1353</v>
      </c>
      <c r="E13">
        <v>8.4000000000000005E-2</v>
      </c>
      <c r="F13">
        <v>716</v>
      </c>
      <c r="G13">
        <v>11448</v>
      </c>
      <c r="J13">
        <v>16</v>
      </c>
      <c r="K13" t="s">
        <v>105</v>
      </c>
      <c r="L13" t="s">
        <v>1354</v>
      </c>
      <c r="M13" t="s">
        <v>1355</v>
      </c>
    </row>
    <row r="14" spans="1:13" x14ac:dyDescent="0.25">
      <c r="A14" s="352">
        <v>2271</v>
      </c>
      <c r="B14" s="352" t="s">
        <v>1367</v>
      </c>
      <c r="C14" t="s">
        <v>1367</v>
      </c>
      <c r="D14" t="s">
        <v>1353</v>
      </c>
      <c r="E14">
        <v>0</v>
      </c>
      <c r="F14">
        <v>903</v>
      </c>
      <c r="G14">
        <v>4515</v>
      </c>
      <c r="H14">
        <v>0</v>
      </c>
      <c r="I14">
        <v>0</v>
      </c>
      <c r="J14">
        <v>5</v>
      </c>
      <c r="K14" t="s">
        <v>105</v>
      </c>
      <c r="L14" t="s">
        <v>1354</v>
      </c>
      <c r="M14" t="s">
        <v>1355</v>
      </c>
    </row>
    <row r="15" spans="1:13" x14ac:dyDescent="0.25">
      <c r="A15" s="352">
        <v>2306</v>
      </c>
      <c r="B15" s="352" t="s">
        <v>1137</v>
      </c>
      <c r="C15" t="s">
        <v>1137</v>
      </c>
      <c r="D15" t="s">
        <v>1353</v>
      </c>
      <c r="E15">
        <v>8.3000000000000004E-2</v>
      </c>
      <c r="F15">
        <v>519</v>
      </c>
      <c r="G15">
        <v>8298</v>
      </c>
      <c r="J15">
        <v>15</v>
      </c>
      <c r="K15" t="s">
        <v>105</v>
      </c>
      <c r="L15" t="s">
        <v>1354</v>
      </c>
      <c r="M15" t="s">
        <v>1355</v>
      </c>
    </row>
    <row r="16" spans="1:13" x14ac:dyDescent="0.25">
      <c r="A16" s="352">
        <v>2307</v>
      </c>
      <c r="B16" s="352" t="s">
        <v>1368</v>
      </c>
      <c r="C16" t="s">
        <v>1368</v>
      </c>
      <c r="D16" t="s">
        <v>1353</v>
      </c>
      <c r="E16">
        <v>8.3000000000000004E-2</v>
      </c>
      <c r="F16">
        <v>519</v>
      </c>
      <c r="G16">
        <v>8298</v>
      </c>
      <c r="I16">
        <v>0</v>
      </c>
      <c r="J16">
        <v>15</v>
      </c>
      <c r="K16" t="s">
        <v>105</v>
      </c>
      <c r="L16" t="s">
        <v>1354</v>
      </c>
      <c r="M16" t="s">
        <v>1355</v>
      </c>
    </row>
    <row r="17" spans="1:13" x14ac:dyDescent="0.25">
      <c r="A17" s="352">
        <v>2308</v>
      </c>
      <c r="B17" s="352" t="s">
        <v>1369</v>
      </c>
      <c r="C17" t="s">
        <v>1369</v>
      </c>
      <c r="D17" t="s">
        <v>1353</v>
      </c>
      <c r="E17">
        <v>7.0000000000000007E-2</v>
      </c>
      <c r="F17">
        <v>613</v>
      </c>
      <c r="G17">
        <v>9195</v>
      </c>
      <c r="J17">
        <v>15</v>
      </c>
      <c r="K17" t="s">
        <v>105</v>
      </c>
      <c r="L17" t="s">
        <v>1354</v>
      </c>
      <c r="M17" t="s">
        <v>1355</v>
      </c>
    </row>
    <row r="18" spans="1:13" x14ac:dyDescent="0.25">
      <c r="A18" s="352">
        <v>2309</v>
      </c>
      <c r="B18" s="352" t="s">
        <v>1370</v>
      </c>
      <c r="C18" t="s">
        <v>1370</v>
      </c>
      <c r="D18" t="s">
        <v>1353</v>
      </c>
      <c r="E18">
        <v>0.2</v>
      </c>
      <c r="F18">
        <v>1752</v>
      </c>
      <c r="G18">
        <v>26280</v>
      </c>
      <c r="J18">
        <v>15</v>
      </c>
      <c r="K18" t="s">
        <v>105</v>
      </c>
      <c r="L18" t="s">
        <v>1354</v>
      </c>
      <c r="M18" t="s">
        <v>1355</v>
      </c>
    </row>
    <row r="19" spans="1:13" x14ac:dyDescent="0.25">
      <c r="A19" s="352">
        <v>2310</v>
      </c>
      <c r="B19" s="352" t="s">
        <v>1371</v>
      </c>
      <c r="C19" t="s">
        <v>1371</v>
      </c>
      <c r="D19" t="s">
        <v>1353</v>
      </c>
      <c r="E19">
        <v>0.1</v>
      </c>
      <c r="F19">
        <v>827</v>
      </c>
      <c r="G19">
        <v>12405</v>
      </c>
      <c r="J19">
        <v>15</v>
      </c>
      <c r="K19" t="s">
        <v>105</v>
      </c>
      <c r="L19" t="s">
        <v>1354</v>
      </c>
      <c r="M19" t="s">
        <v>1355</v>
      </c>
    </row>
    <row r="20" spans="1:13" x14ac:dyDescent="0.25">
      <c r="A20" s="352">
        <v>2311</v>
      </c>
      <c r="B20" s="352" t="s">
        <v>1372</v>
      </c>
      <c r="C20" t="s">
        <v>1372</v>
      </c>
      <c r="D20" t="s">
        <v>1353</v>
      </c>
      <c r="E20">
        <v>0.27</v>
      </c>
      <c r="F20">
        <v>2234</v>
      </c>
      <c r="G20">
        <v>33510</v>
      </c>
      <c r="J20">
        <v>15</v>
      </c>
      <c r="K20" t="s">
        <v>105</v>
      </c>
      <c r="L20" t="s">
        <v>1354</v>
      </c>
      <c r="M20" t="s">
        <v>1355</v>
      </c>
    </row>
    <row r="21" spans="1:13" x14ac:dyDescent="0.25">
      <c r="A21" s="352">
        <v>2312</v>
      </c>
      <c r="B21" s="352" t="s">
        <v>1131</v>
      </c>
      <c r="C21" t="s">
        <v>1131</v>
      </c>
      <c r="D21" t="s">
        <v>1353</v>
      </c>
      <c r="E21">
        <v>0.11600000000000001</v>
      </c>
      <c r="F21">
        <v>992</v>
      </c>
      <c r="G21">
        <v>14880</v>
      </c>
      <c r="J21">
        <v>15</v>
      </c>
      <c r="K21" t="s">
        <v>105</v>
      </c>
      <c r="L21" t="s">
        <v>1354</v>
      </c>
      <c r="M21" t="s">
        <v>1355</v>
      </c>
    </row>
    <row r="22" spans="1:13" x14ac:dyDescent="0.25">
      <c r="A22" s="221">
        <v>2321</v>
      </c>
      <c r="B22" s="352" t="s">
        <v>1373</v>
      </c>
      <c r="C22" t="s">
        <v>1373</v>
      </c>
      <c r="D22" t="s">
        <v>1353</v>
      </c>
      <c r="E22">
        <v>3.5999999999999997E-2</v>
      </c>
      <c r="F22">
        <v>311</v>
      </c>
      <c r="G22">
        <v>3732</v>
      </c>
      <c r="J22">
        <v>12</v>
      </c>
      <c r="L22" t="s">
        <v>1354</v>
      </c>
      <c r="M22" t="s">
        <v>1355</v>
      </c>
    </row>
    <row r="23" spans="1:13" x14ac:dyDescent="0.25">
      <c r="A23" s="352">
        <v>2322</v>
      </c>
      <c r="B23" s="352" t="s">
        <v>1374</v>
      </c>
      <c r="C23" t="s">
        <v>1374</v>
      </c>
      <c r="D23" t="s">
        <v>1353</v>
      </c>
      <c r="E23">
        <v>4.9000000000000002E-2</v>
      </c>
      <c r="F23">
        <v>433</v>
      </c>
      <c r="G23">
        <v>5196</v>
      </c>
      <c r="J23">
        <v>12</v>
      </c>
      <c r="L23" t="s">
        <v>1354</v>
      </c>
      <c r="M23" t="s">
        <v>1355</v>
      </c>
    </row>
    <row r="24" spans="1:13" x14ac:dyDescent="0.25">
      <c r="A24" s="352">
        <v>2323</v>
      </c>
      <c r="B24" s="352" t="s">
        <v>1375</v>
      </c>
      <c r="C24" t="s">
        <v>1375</v>
      </c>
      <c r="D24" t="s">
        <v>1353</v>
      </c>
      <c r="E24">
        <v>6.6000000000000003E-2</v>
      </c>
      <c r="F24">
        <v>580</v>
      </c>
      <c r="G24">
        <v>6960</v>
      </c>
      <c r="J24">
        <v>12</v>
      </c>
      <c r="L24" t="s">
        <v>1354</v>
      </c>
      <c r="M24" t="s">
        <v>1355</v>
      </c>
    </row>
    <row r="25" spans="1:13" x14ac:dyDescent="0.25">
      <c r="A25" s="352">
        <v>2324</v>
      </c>
      <c r="B25" s="352" t="s">
        <v>1376</v>
      </c>
      <c r="C25" t="s">
        <v>1376</v>
      </c>
      <c r="D25" t="s">
        <v>1353</v>
      </c>
      <c r="E25">
        <v>9.0999999999999998E-2</v>
      </c>
      <c r="F25">
        <v>794</v>
      </c>
      <c r="G25">
        <v>9528</v>
      </c>
      <c r="J25">
        <v>12</v>
      </c>
      <c r="L25" t="s">
        <v>1354</v>
      </c>
      <c r="M25" t="s">
        <v>1355</v>
      </c>
    </row>
    <row r="26" spans="1:13" x14ac:dyDescent="0.25">
      <c r="A26" s="352">
        <v>2325</v>
      </c>
      <c r="B26" s="352" t="s">
        <v>1377</v>
      </c>
      <c r="C26" t="s">
        <v>1377</v>
      </c>
      <c r="D26" t="s">
        <v>1353</v>
      </c>
      <c r="E26">
        <v>2.5000000000000001E-2</v>
      </c>
      <c r="F26">
        <v>216</v>
      </c>
      <c r="G26">
        <v>2592</v>
      </c>
      <c r="J26">
        <v>12</v>
      </c>
      <c r="L26" t="s">
        <v>1354</v>
      </c>
      <c r="M26" t="s">
        <v>1355</v>
      </c>
    </row>
    <row r="27" spans="1:13" x14ac:dyDescent="0.25">
      <c r="A27" s="352">
        <v>2326</v>
      </c>
      <c r="B27" s="352" t="s">
        <v>1378</v>
      </c>
      <c r="C27" t="s">
        <v>1378</v>
      </c>
      <c r="D27" t="s">
        <v>1353</v>
      </c>
      <c r="E27">
        <v>2.5999999999999999E-2</v>
      </c>
      <c r="F27">
        <v>232</v>
      </c>
      <c r="G27">
        <v>2784</v>
      </c>
      <c r="J27">
        <v>12</v>
      </c>
      <c r="L27" t="s">
        <v>1354</v>
      </c>
      <c r="M27" t="s">
        <v>1355</v>
      </c>
    </row>
    <row r="28" spans="1:13" x14ac:dyDescent="0.25">
      <c r="A28" s="352">
        <v>2327</v>
      </c>
      <c r="B28" s="352" t="s">
        <v>1379</v>
      </c>
      <c r="C28" t="s">
        <v>1379</v>
      </c>
      <c r="D28" t="s">
        <v>1353</v>
      </c>
      <c r="E28">
        <v>2.9000000000000001E-2</v>
      </c>
      <c r="F28">
        <v>251</v>
      </c>
      <c r="G28">
        <v>3012</v>
      </c>
      <c r="J28">
        <v>12</v>
      </c>
      <c r="L28" t="s">
        <v>1354</v>
      </c>
      <c r="M28" t="s">
        <v>1355</v>
      </c>
    </row>
    <row r="29" spans="1:13" x14ac:dyDescent="0.25">
      <c r="A29" s="221">
        <v>2328</v>
      </c>
      <c r="B29" s="352" t="s">
        <v>1380</v>
      </c>
      <c r="C29" t="s">
        <v>1380</v>
      </c>
      <c r="D29" t="s">
        <v>1353</v>
      </c>
      <c r="E29">
        <v>3.2000000000000001E-2</v>
      </c>
      <c r="F29">
        <v>279</v>
      </c>
      <c r="G29">
        <v>3348</v>
      </c>
      <c r="J29">
        <v>12</v>
      </c>
      <c r="L29" t="s">
        <v>1354</v>
      </c>
      <c r="M29" t="s">
        <v>1355</v>
      </c>
    </row>
    <row r="30" spans="1:13" x14ac:dyDescent="0.25">
      <c r="A30" s="221">
        <v>2329</v>
      </c>
      <c r="B30" s="352" t="s">
        <v>1381</v>
      </c>
      <c r="C30" t="s">
        <v>1381</v>
      </c>
      <c r="D30" t="s">
        <v>1353</v>
      </c>
      <c r="E30">
        <v>0.43</v>
      </c>
      <c r="F30">
        <v>374</v>
      </c>
      <c r="G30">
        <v>4488</v>
      </c>
      <c r="J30">
        <v>12</v>
      </c>
      <c r="L30" t="s">
        <v>1354</v>
      </c>
      <c r="M30" t="s">
        <v>1355</v>
      </c>
    </row>
    <row r="31" spans="1:13" x14ac:dyDescent="0.25">
      <c r="A31" s="352">
        <v>2330</v>
      </c>
      <c r="B31" s="352" t="s">
        <v>1382</v>
      </c>
      <c r="C31" t="s">
        <v>1382</v>
      </c>
      <c r="D31" t="s">
        <v>1353</v>
      </c>
      <c r="E31">
        <v>7.8E-2</v>
      </c>
      <c r="F31">
        <v>681</v>
      </c>
      <c r="G31">
        <v>8172</v>
      </c>
      <c r="J31">
        <v>12</v>
      </c>
      <c r="L31" t="s">
        <v>1354</v>
      </c>
      <c r="M31" t="s">
        <v>1355</v>
      </c>
    </row>
    <row r="32" spans="1:13" x14ac:dyDescent="0.25">
      <c r="A32" s="352">
        <v>2331</v>
      </c>
      <c r="B32" s="352" t="s">
        <v>1383</v>
      </c>
      <c r="C32" t="s">
        <v>1383</v>
      </c>
      <c r="D32" t="s">
        <v>1353</v>
      </c>
      <c r="E32">
        <v>0.12</v>
      </c>
      <c r="F32">
        <v>1052</v>
      </c>
      <c r="G32">
        <v>12624</v>
      </c>
      <c r="J32">
        <v>12</v>
      </c>
      <c r="L32" t="s">
        <v>1354</v>
      </c>
      <c r="M32" t="s">
        <v>1355</v>
      </c>
    </row>
    <row r="33" spans="1:13" x14ac:dyDescent="0.25">
      <c r="A33" s="352">
        <v>2332</v>
      </c>
      <c r="B33" s="352" t="s">
        <v>1384</v>
      </c>
      <c r="C33" t="s">
        <v>1384</v>
      </c>
      <c r="D33" t="s">
        <v>1353</v>
      </c>
      <c r="E33">
        <v>0.182</v>
      </c>
      <c r="F33">
        <v>1591</v>
      </c>
      <c r="G33">
        <v>19092</v>
      </c>
      <c r="J33">
        <v>12</v>
      </c>
      <c r="L33" t="s">
        <v>1354</v>
      </c>
      <c r="M33" t="s">
        <v>1355</v>
      </c>
    </row>
    <row r="34" spans="1:13" x14ac:dyDescent="0.25">
      <c r="A34" s="352">
        <v>2333</v>
      </c>
      <c r="B34" s="352" t="s">
        <v>1385</v>
      </c>
      <c r="C34" t="s">
        <v>1385</v>
      </c>
      <c r="D34" t="s">
        <v>1353</v>
      </c>
      <c r="E34">
        <v>2.3E-2</v>
      </c>
      <c r="F34">
        <v>203</v>
      </c>
      <c r="G34">
        <v>2436</v>
      </c>
      <c r="J34">
        <v>12</v>
      </c>
      <c r="L34" t="s">
        <v>1354</v>
      </c>
      <c r="M34" t="s">
        <v>1355</v>
      </c>
    </row>
    <row r="35" spans="1:13" x14ac:dyDescent="0.25">
      <c r="A35" s="352">
        <v>2334</v>
      </c>
      <c r="B35" s="352" t="s">
        <v>1386</v>
      </c>
      <c r="C35" t="s">
        <v>1386</v>
      </c>
      <c r="D35" t="s">
        <v>1353</v>
      </c>
      <c r="E35">
        <v>4.8000000000000001E-2</v>
      </c>
      <c r="F35">
        <v>420</v>
      </c>
      <c r="G35">
        <v>5040</v>
      </c>
      <c r="J35">
        <v>12</v>
      </c>
      <c r="L35" t="s">
        <v>1354</v>
      </c>
      <c r="M35" t="s">
        <v>1355</v>
      </c>
    </row>
    <row r="36" spans="1:13" x14ac:dyDescent="0.25">
      <c r="A36" s="352">
        <v>2335</v>
      </c>
      <c r="B36" s="352" t="s">
        <v>1387</v>
      </c>
      <c r="C36" t="s">
        <v>1387</v>
      </c>
      <c r="D36" t="s">
        <v>1353</v>
      </c>
      <c r="E36">
        <v>6.3E-2</v>
      </c>
      <c r="F36">
        <v>553</v>
      </c>
      <c r="G36">
        <v>6636</v>
      </c>
      <c r="J36">
        <v>12</v>
      </c>
      <c r="L36" t="s">
        <v>1354</v>
      </c>
      <c r="M36" t="s">
        <v>1355</v>
      </c>
    </row>
    <row r="37" spans="1:13" x14ac:dyDescent="0.25">
      <c r="A37" s="352">
        <v>2336</v>
      </c>
      <c r="B37" s="352" t="s">
        <v>1388</v>
      </c>
      <c r="C37" t="s">
        <v>1388</v>
      </c>
      <c r="D37" t="s">
        <v>1353</v>
      </c>
      <c r="E37">
        <v>8.4000000000000005E-2</v>
      </c>
      <c r="F37">
        <v>732</v>
      </c>
      <c r="G37">
        <v>8784</v>
      </c>
      <c r="J37">
        <v>12</v>
      </c>
      <c r="L37" t="s">
        <v>1354</v>
      </c>
      <c r="M37" t="s">
        <v>1355</v>
      </c>
    </row>
    <row r="38" spans="1:13" x14ac:dyDescent="0.25">
      <c r="A38" s="352">
        <v>2456</v>
      </c>
      <c r="B38" s="352" t="s">
        <v>1389</v>
      </c>
      <c r="C38" t="s">
        <v>1389</v>
      </c>
      <c r="D38" t="s">
        <v>1353</v>
      </c>
      <c r="E38">
        <v>7.3999999999999996E-2</v>
      </c>
      <c r="F38">
        <v>650</v>
      </c>
      <c r="G38">
        <v>4550</v>
      </c>
      <c r="J38">
        <v>20</v>
      </c>
      <c r="K38" t="s">
        <v>105</v>
      </c>
      <c r="L38" t="s">
        <v>1354</v>
      </c>
      <c r="M38" t="s">
        <v>1355</v>
      </c>
    </row>
    <row r="39" spans="1:13" x14ac:dyDescent="0.25">
      <c r="A39" s="352">
        <v>2482</v>
      </c>
      <c r="B39" s="352" t="s">
        <v>1307</v>
      </c>
      <c r="C39" t="s">
        <v>1307</v>
      </c>
      <c r="D39" t="s">
        <v>1353</v>
      </c>
      <c r="E39">
        <v>1.2999999999999999E-2</v>
      </c>
      <c r="F39">
        <v>112</v>
      </c>
      <c r="G39">
        <v>896</v>
      </c>
      <c r="J39">
        <v>10</v>
      </c>
      <c r="K39" t="s">
        <v>105</v>
      </c>
      <c r="L39" t="s">
        <v>1354</v>
      </c>
      <c r="M39" t="s">
        <v>1355</v>
      </c>
    </row>
    <row r="40" spans="1:13" x14ac:dyDescent="0.25">
      <c r="A40" s="352">
        <v>2509</v>
      </c>
      <c r="B40" s="352" t="s">
        <v>1390</v>
      </c>
      <c r="C40" t="s">
        <v>1390</v>
      </c>
      <c r="D40" t="s">
        <v>1353</v>
      </c>
      <c r="E40">
        <v>0.17899999999999999</v>
      </c>
      <c r="F40">
        <v>976</v>
      </c>
      <c r="G40">
        <v>14640</v>
      </c>
      <c r="H40">
        <v>113</v>
      </c>
      <c r="I40">
        <v>1695</v>
      </c>
      <c r="J40">
        <v>15</v>
      </c>
      <c r="K40" t="s">
        <v>105</v>
      </c>
      <c r="L40" t="s">
        <v>1354</v>
      </c>
      <c r="M40" t="s">
        <v>1355</v>
      </c>
    </row>
    <row r="41" spans="1:13" x14ac:dyDescent="0.25">
      <c r="A41" s="352">
        <v>4360</v>
      </c>
      <c r="B41" s="352" t="s">
        <v>1313</v>
      </c>
      <c r="C41" t="s">
        <v>1313</v>
      </c>
      <c r="D41" t="s">
        <v>1353</v>
      </c>
      <c r="E41">
        <v>0</v>
      </c>
      <c r="F41">
        <v>639</v>
      </c>
      <c r="G41">
        <v>6390</v>
      </c>
      <c r="I41">
        <v>0</v>
      </c>
      <c r="J41">
        <v>10</v>
      </c>
      <c r="K41" t="s">
        <v>105</v>
      </c>
      <c r="L41" t="s">
        <v>1354</v>
      </c>
      <c r="M41" t="s">
        <v>1355</v>
      </c>
    </row>
    <row r="42" spans="1:13" x14ac:dyDescent="0.25">
      <c r="A42" s="221">
        <v>2513</v>
      </c>
      <c r="B42" s="352" t="s">
        <v>1391</v>
      </c>
      <c r="C42" t="s">
        <v>1391</v>
      </c>
      <c r="D42" t="s">
        <v>1353</v>
      </c>
      <c r="E42">
        <v>9.9000000000000005E-2</v>
      </c>
      <c r="F42">
        <v>537</v>
      </c>
      <c r="G42">
        <v>1611</v>
      </c>
      <c r="I42">
        <v>0</v>
      </c>
      <c r="J42">
        <v>3</v>
      </c>
      <c r="K42" t="s">
        <v>105</v>
      </c>
      <c r="L42" t="s">
        <v>1354</v>
      </c>
      <c r="M42" t="s">
        <v>1355</v>
      </c>
    </row>
    <row r="43" spans="1:13" x14ac:dyDescent="0.25">
      <c r="A43" s="221">
        <v>2514</v>
      </c>
      <c r="B43" s="352" t="s">
        <v>1392</v>
      </c>
      <c r="C43" t="s">
        <v>1392</v>
      </c>
      <c r="D43" t="s">
        <v>1353</v>
      </c>
      <c r="E43">
        <v>0.191</v>
      </c>
      <c r="F43">
        <v>1338</v>
      </c>
      <c r="G43">
        <v>4014</v>
      </c>
      <c r="I43">
        <v>0</v>
      </c>
      <c r="J43">
        <v>3</v>
      </c>
      <c r="K43" t="s">
        <v>105</v>
      </c>
      <c r="L43" t="s">
        <v>1354</v>
      </c>
      <c r="M43" t="s">
        <v>1355</v>
      </c>
    </row>
    <row r="44" spans="1:13" x14ac:dyDescent="0.25">
      <c r="A44" s="221">
        <v>2515</v>
      </c>
      <c r="B44" s="352" t="s">
        <v>1393</v>
      </c>
      <c r="C44" t="s">
        <v>1393</v>
      </c>
      <c r="D44" t="s">
        <v>1353</v>
      </c>
      <c r="E44">
        <v>0.1048</v>
      </c>
      <c r="F44">
        <v>569</v>
      </c>
      <c r="G44">
        <v>1707</v>
      </c>
      <c r="I44">
        <v>0</v>
      </c>
      <c r="J44">
        <v>3</v>
      </c>
      <c r="K44" t="s">
        <v>105</v>
      </c>
      <c r="L44" t="s">
        <v>1354</v>
      </c>
      <c r="M44" t="s">
        <v>1355</v>
      </c>
    </row>
    <row r="45" spans="1:13" x14ac:dyDescent="0.25">
      <c r="A45" s="221">
        <v>2516</v>
      </c>
      <c r="B45" s="352" t="s">
        <v>1394</v>
      </c>
      <c r="C45" t="s">
        <v>1394</v>
      </c>
      <c r="D45" t="s">
        <v>1353</v>
      </c>
      <c r="E45">
        <v>8.77E-2</v>
      </c>
      <c r="F45">
        <v>614</v>
      </c>
      <c r="G45">
        <v>1842</v>
      </c>
      <c r="I45">
        <v>0</v>
      </c>
      <c r="J45">
        <v>3</v>
      </c>
      <c r="K45" t="s">
        <v>105</v>
      </c>
      <c r="L45" t="s">
        <v>1354</v>
      </c>
      <c r="M45" t="s">
        <v>1355</v>
      </c>
    </row>
    <row r="46" spans="1:13" x14ac:dyDescent="0.25">
      <c r="A46" s="324">
        <v>2521</v>
      </c>
      <c r="B46" s="352" t="s">
        <v>1395</v>
      </c>
      <c r="C46" t="s">
        <v>1395</v>
      </c>
      <c r="D46" t="s">
        <v>1353</v>
      </c>
      <c r="E46">
        <v>7.0000000000000001E-3</v>
      </c>
      <c r="F46">
        <v>60</v>
      </c>
      <c r="G46">
        <v>720</v>
      </c>
      <c r="J46">
        <v>12</v>
      </c>
      <c r="L46" t="s">
        <v>1354</v>
      </c>
      <c r="M46" t="s">
        <v>1355</v>
      </c>
    </row>
    <row r="47" spans="1:13" x14ac:dyDescent="0.25">
      <c r="A47" s="353">
        <v>2522</v>
      </c>
      <c r="B47" s="352" t="s">
        <v>1396</v>
      </c>
      <c r="C47" t="s">
        <v>1396</v>
      </c>
      <c r="D47" t="s">
        <v>1353</v>
      </c>
      <c r="E47">
        <v>1.2999999999999999E-2</v>
      </c>
      <c r="F47">
        <v>113</v>
      </c>
      <c r="G47">
        <v>1356</v>
      </c>
      <c r="J47">
        <v>12</v>
      </c>
      <c r="L47" t="s">
        <v>1354</v>
      </c>
      <c r="M47" t="s">
        <v>1355</v>
      </c>
    </row>
    <row r="48" spans="1:13" x14ac:dyDescent="0.25">
      <c r="A48" s="353">
        <v>2523</v>
      </c>
      <c r="B48" s="352" t="s">
        <v>1397</v>
      </c>
      <c r="C48" t="s">
        <v>1397</v>
      </c>
      <c r="D48" t="s">
        <v>1353</v>
      </c>
      <c r="E48">
        <v>0.02</v>
      </c>
      <c r="F48">
        <v>177</v>
      </c>
      <c r="G48">
        <v>2124</v>
      </c>
      <c r="J48">
        <v>12</v>
      </c>
      <c r="L48" t="s">
        <v>1354</v>
      </c>
      <c r="M48" t="s">
        <v>1355</v>
      </c>
    </row>
    <row r="49" spans="1:13" x14ac:dyDescent="0.25">
      <c r="A49" s="353">
        <v>2524</v>
      </c>
      <c r="B49" s="352" t="s">
        <v>1398</v>
      </c>
      <c r="C49" t="s">
        <v>1398</v>
      </c>
      <c r="D49" t="s">
        <v>1353</v>
      </c>
      <c r="E49">
        <v>3.1E-2</v>
      </c>
      <c r="F49">
        <v>270</v>
      </c>
      <c r="G49">
        <v>3240</v>
      </c>
      <c r="J49">
        <v>12</v>
      </c>
      <c r="L49" t="s">
        <v>1354</v>
      </c>
      <c r="M49" t="s">
        <v>1355</v>
      </c>
    </row>
    <row r="50" spans="1:13" x14ac:dyDescent="0.25">
      <c r="A50" s="353">
        <v>2525</v>
      </c>
      <c r="B50" s="352" t="s">
        <v>1399</v>
      </c>
      <c r="C50" t="s">
        <v>1399</v>
      </c>
      <c r="D50" t="s">
        <v>1353</v>
      </c>
      <c r="E50">
        <v>2.5999999999999999E-2</v>
      </c>
      <c r="F50">
        <v>230</v>
      </c>
      <c r="G50">
        <v>2760</v>
      </c>
      <c r="J50">
        <v>12</v>
      </c>
      <c r="L50" t="s">
        <v>1354</v>
      </c>
      <c r="M50" t="s">
        <v>1355</v>
      </c>
    </row>
    <row r="51" spans="1:13" x14ac:dyDescent="0.25">
      <c r="A51" s="353">
        <v>2526</v>
      </c>
      <c r="B51" s="352" t="s">
        <v>1400</v>
      </c>
      <c r="C51" t="s">
        <v>1400</v>
      </c>
      <c r="D51" t="s">
        <v>1353</v>
      </c>
      <c r="E51">
        <v>2.5999999999999999E-2</v>
      </c>
      <c r="F51">
        <v>230</v>
      </c>
      <c r="G51">
        <v>2760</v>
      </c>
      <c r="J51">
        <v>12</v>
      </c>
      <c r="L51" t="s">
        <v>1354</v>
      </c>
      <c r="M51" t="s">
        <v>1355</v>
      </c>
    </row>
    <row r="52" spans="1:13" x14ac:dyDescent="0.25">
      <c r="A52" s="353">
        <v>2527</v>
      </c>
      <c r="B52" s="352" t="s">
        <v>1401</v>
      </c>
      <c r="C52" t="s">
        <v>1401</v>
      </c>
      <c r="D52" t="s">
        <v>1353</v>
      </c>
      <c r="E52">
        <v>2.5999999999999999E-2</v>
      </c>
      <c r="F52">
        <v>230</v>
      </c>
      <c r="G52">
        <v>2760</v>
      </c>
      <c r="J52">
        <v>12</v>
      </c>
      <c r="L52" t="s">
        <v>1354</v>
      </c>
      <c r="M52" t="s">
        <v>1355</v>
      </c>
    </row>
    <row r="53" spans="1:13" x14ac:dyDescent="0.25">
      <c r="A53" s="353">
        <v>2528</v>
      </c>
      <c r="B53" s="352" t="s">
        <v>1402</v>
      </c>
      <c r="C53" t="s">
        <v>1402</v>
      </c>
      <c r="D53" t="s">
        <v>1353</v>
      </c>
      <c r="E53">
        <v>2.5999999999999999E-2</v>
      </c>
      <c r="F53">
        <v>230</v>
      </c>
      <c r="G53">
        <v>2760</v>
      </c>
      <c r="J53">
        <v>12</v>
      </c>
      <c r="L53" t="s">
        <v>1354</v>
      </c>
      <c r="M53" t="s">
        <v>1355</v>
      </c>
    </row>
    <row r="54" spans="1:13" x14ac:dyDescent="0.25">
      <c r="A54" s="353">
        <v>2529</v>
      </c>
      <c r="B54" s="352" t="s">
        <v>1403</v>
      </c>
      <c r="C54" t="s">
        <v>1403</v>
      </c>
      <c r="D54" t="s">
        <v>1353</v>
      </c>
      <c r="E54">
        <v>1.9E-2</v>
      </c>
      <c r="F54">
        <v>165</v>
      </c>
      <c r="G54">
        <v>1980</v>
      </c>
      <c r="J54">
        <v>12</v>
      </c>
      <c r="L54" t="s">
        <v>1354</v>
      </c>
      <c r="M54" t="s">
        <v>1355</v>
      </c>
    </row>
    <row r="55" spans="1:13" x14ac:dyDescent="0.25">
      <c r="A55" s="353">
        <v>2530</v>
      </c>
      <c r="B55" s="352" t="s">
        <v>1404</v>
      </c>
      <c r="C55" t="s">
        <v>1404</v>
      </c>
      <c r="D55" t="s">
        <v>1353</v>
      </c>
      <c r="E55">
        <v>3.5000000000000003E-2</v>
      </c>
      <c r="F55">
        <v>307</v>
      </c>
      <c r="G55">
        <v>3684</v>
      </c>
      <c r="J55">
        <v>12</v>
      </c>
      <c r="L55" t="s">
        <v>1354</v>
      </c>
      <c r="M55" t="s">
        <v>1355</v>
      </c>
    </row>
    <row r="56" spans="1:13" x14ac:dyDescent="0.25">
      <c r="A56" s="353">
        <v>2531</v>
      </c>
      <c r="B56" s="352" t="s">
        <v>1405</v>
      </c>
      <c r="C56" t="s">
        <v>1405</v>
      </c>
      <c r="D56" t="s">
        <v>1353</v>
      </c>
      <c r="E56">
        <v>6.0999999999999999E-2</v>
      </c>
      <c r="F56">
        <v>536</v>
      </c>
      <c r="G56">
        <v>6432</v>
      </c>
      <c r="J56">
        <v>12</v>
      </c>
      <c r="L56" t="s">
        <v>1354</v>
      </c>
      <c r="M56" t="s">
        <v>1355</v>
      </c>
    </row>
    <row r="57" spans="1:13" x14ac:dyDescent="0.25">
      <c r="A57" s="353">
        <v>2532</v>
      </c>
      <c r="B57" s="352" t="s">
        <v>1406</v>
      </c>
      <c r="C57" t="s">
        <v>1406</v>
      </c>
      <c r="D57" t="s">
        <v>1353</v>
      </c>
      <c r="E57">
        <v>6.9000000000000006E-2</v>
      </c>
      <c r="F57">
        <v>601</v>
      </c>
      <c r="G57">
        <v>7212</v>
      </c>
      <c r="J57">
        <v>12</v>
      </c>
      <c r="L57" t="s">
        <v>1354</v>
      </c>
      <c r="M57" t="s">
        <v>1355</v>
      </c>
    </row>
    <row r="58" spans="1:13" x14ac:dyDescent="0.25">
      <c r="A58" s="353">
        <v>2533</v>
      </c>
      <c r="B58" s="352" t="s">
        <v>1407</v>
      </c>
      <c r="C58" t="s">
        <v>1407</v>
      </c>
      <c r="D58" t="s">
        <v>1353</v>
      </c>
      <c r="E58">
        <v>2.5000000000000001E-2</v>
      </c>
      <c r="F58">
        <v>219</v>
      </c>
      <c r="G58">
        <v>2628</v>
      </c>
      <c r="J58">
        <v>12</v>
      </c>
      <c r="L58" t="s">
        <v>1354</v>
      </c>
      <c r="M58" t="s">
        <v>1355</v>
      </c>
    </row>
    <row r="59" spans="1:13" x14ac:dyDescent="0.25">
      <c r="A59" s="353">
        <v>2534</v>
      </c>
      <c r="B59" s="352" t="s">
        <v>1408</v>
      </c>
      <c r="C59" t="s">
        <v>1408</v>
      </c>
      <c r="D59" t="s">
        <v>1353</v>
      </c>
      <c r="E59">
        <v>2.9000000000000001E-2</v>
      </c>
      <c r="F59">
        <v>255</v>
      </c>
      <c r="G59">
        <v>3060</v>
      </c>
      <c r="J59">
        <v>12</v>
      </c>
      <c r="L59" t="s">
        <v>1354</v>
      </c>
      <c r="M59" t="s">
        <v>1355</v>
      </c>
    </row>
    <row r="60" spans="1:13" x14ac:dyDescent="0.25">
      <c r="A60" s="353">
        <v>2535</v>
      </c>
      <c r="B60" s="352" t="s">
        <v>1409</v>
      </c>
      <c r="C60" t="s">
        <v>1409</v>
      </c>
      <c r="D60" t="s">
        <v>1353</v>
      </c>
      <c r="E60">
        <v>2.8000000000000001E-2</v>
      </c>
      <c r="F60">
        <v>243</v>
      </c>
      <c r="G60">
        <v>2916</v>
      </c>
      <c r="J60">
        <v>12</v>
      </c>
      <c r="L60" t="s">
        <v>1354</v>
      </c>
      <c r="M60" t="s">
        <v>1355</v>
      </c>
    </row>
    <row r="61" spans="1:13" x14ac:dyDescent="0.25">
      <c r="A61" s="353">
        <v>2536</v>
      </c>
      <c r="B61" s="352" t="s">
        <v>1410</v>
      </c>
      <c r="C61" t="s">
        <v>1410</v>
      </c>
      <c r="D61" t="s">
        <v>1353</v>
      </c>
      <c r="E61">
        <v>4.8000000000000001E-2</v>
      </c>
      <c r="F61">
        <v>423</v>
      </c>
      <c r="G61">
        <v>5076</v>
      </c>
      <c r="J61">
        <v>12</v>
      </c>
      <c r="L61" t="s">
        <v>1354</v>
      </c>
      <c r="M61" t="s">
        <v>1355</v>
      </c>
    </row>
    <row r="62" spans="1:13" x14ac:dyDescent="0.25">
      <c r="A62" s="352">
        <v>2611</v>
      </c>
      <c r="B62" s="352" t="s">
        <v>1328</v>
      </c>
      <c r="C62" t="s">
        <v>1328</v>
      </c>
      <c r="D62" t="s">
        <v>1353</v>
      </c>
      <c r="E62">
        <v>0</v>
      </c>
      <c r="F62">
        <v>294</v>
      </c>
      <c r="G62">
        <v>1470</v>
      </c>
      <c r="I62">
        <v>0</v>
      </c>
      <c r="J62">
        <v>5</v>
      </c>
      <c r="K62" t="s">
        <v>105</v>
      </c>
      <c r="L62" t="s">
        <v>1354</v>
      </c>
      <c r="M62" t="s">
        <v>1355</v>
      </c>
    </row>
    <row r="63" spans="1:13" x14ac:dyDescent="0.25">
      <c r="A63">
        <v>2612</v>
      </c>
      <c r="B63" t="s">
        <v>1333</v>
      </c>
      <c r="C63" t="s">
        <v>1333</v>
      </c>
      <c r="D63" t="s">
        <v>1353</v>
      </c>
      <c r="E63">
        <v>0</v>
      </c>
      <c r="F63">
        <v>29</v>
      </c>
      <c r="G63">
        <v>145</v>
      </c>
      <c r="I63">
        <v>0</v>
      </c>
      <c r="J63">
        <v>5</v>
      </c>
      <c r="K63" t="s">
        <v>105</v>
      </c>
      <c r="L63" t="s">
        <v>1354</v>
      </c>
      <c r="M63" t="s">
        <v>1355</v>
      </c>
    </row>
    <row r="64" spans="1:13" x14ac:dyDescent="0.25">
      <c r="A64">
        <v>2613</v>
      </c>
      <c r="B64" t="s">
        <v>1335</v>
      </c>
      <c r="C64" t="s">
        <v>1335</v>
      </c>
      <c r="D64" t="s">
        <v>1353</v>
      </c>
      <c r="E64">
        <v>0</v>
      </c>
      <c r="F64">
        <v>264</v>
      </c>
      <c r="G64">
        <v>1320</v>
      </c>
      <c r="I64">
        <v>0</v>
      </c>
      <c r="J64">
        <v>5</v>
      </c>
      <c r="K64" t="s">
        <v>105</v>
      </c>
      <c r="L64" t="s">
        <v>1354</v>
      </c>
      <c r="M64" t="s">
        <v>1355</v>
      </c>
    </row>
    <row r="65" spans="1:13" x14ac:dyDescent="0.25">
      <c r="A65" s="221">
        <v>2614</v>
      </c>
      <c r="B65" t="s">
        <v>1411</v>
      </c>
      <c r="C65" t="s">
        <v>1411</v>
      </c>
      <c r="D65" t="s">
        <v>1353</v>
      </c>
      <c r="E65">
        <v>0</v>
      </c>
      <c r="F65">
        <v>200</v>
      </c>
      <c r="G65">
        <v>1000</v>
      </c>
      <c r="I65">
        <v>0</v>
      </c>
      <c r="J65">
        <v>5</v>
      </c>
      <c r="K65" t="s">
        <v>105</v>
      </c>
      <c r="L65" t="s">
        <v>1354</v>
      </c>
      <c r="M65" t="s">
        <v>1355</v>
      </c>
    </row>
    <row r="66" spans="1:13" x14ac:dyDescent="0.25">
      <c r="A66">
        <v>2615</v>
      </c>
      <c r="B66" t="s">
        <v>1412</v>
      </c>
      <c r="C66" t="s">
        <v>1412</v>
      </c>
      <c r="D66" t="s">
        <v>1353</v>
      </c>
      <c r="F66">
        <v>1754</v>
      </c>
      <c r="G66">
        <v>17540</v>
      </c>
      <c r="I66">
        <v>0</v>
      </c>
      <c r="J66">
        <v>10</v>
      </c>
      <c r="K66" t="s">
        <v>105</v>
      </c>
      <c r="L66" t="s">
        <v>1354</v>
      </c>
      <c r="M66" t="s">
        <v>1355</v>
      </c>
    </row>
    <row r="67" spans="1:13" x14ac:dyDescent="0.25">
      <c r="A67" s="221">
        <v>2616</v>
      </c>
      <c r="B67" t="s">
        <v>1413</v>
      </c>
      <c r="C67" t="s">
        <v>1413</v>
      </c>
      <c r="D67" t="s">
        <v>1353</v>
      </c>
      <c r="F67">
        <v>2231</v>
      </c>
      <c r="G67">
        <v>22310</v>
      </c>
      <c r="I67">
        <v>0</v>
      </c>
      <c r="J67">
        <v>10</v>
      </c>
      <c r="K67" t="s">
        <v>105</v>
      </c>
      <c r="L67" t="s">
        <v>1354</v>
      </c>
      <c r="M67" t="s">
        <v>1355</v>
      </c>
    </row>
    <row r="68" spans="1:13" x14ac:dyDescent="0.25">
      <c r="A68" s="221">
        <v>2671</v>
      </c>
      <c r="B68" t="s">
        <v>1414</v>
      </c>
      <c r="C68" t="s">
        <v>1414</v>
      </c>
      <c r="D68" t="s">
        <v>1353</v>
      </c>
      <c r="E68">
        <v>3.6999999999999998E-2</v>
      </c>
      <c r="F68">
        <v>320</v>
      </c>
      <c r="G68">
        <v>1280</v>
      </c>
      <c r="I68">
        <v>0</v>
      </c>
      <c r="J68">
        <v>4</v>
      </c>
      <c r="K68" t="s">
        <v>105</v>
      </c>
      <c r="L68" t="s">
        <v>1354</v>
      </c>
      <c r="M68" t="s">
        <v>1355</v>
      </c>
    </row>
    <row r="69" spans="1:13" x14ac:dyDescent="0.25">
      <c r="A69">
        <v>2928</v>
      </c>
      <c r="B69" t="s">
        <v>1415</v>
      </c>
      <c r="C69" t="s">
        <v>1415</v>
      </c>
      <c r="D69" t="s">
        <v>1416</v>
      </c>
      <c r="J69">
        <v>15</v>
      </c>
      <c r="K69" t="s">
        <v>1417</v>
      </c>
      <c r="L69" t="s">
        <v>1354</v>
      </c>
      <c r="M69" t="s">
        <v>1355</v>
      </c>
    </row>
    <row r="70" spans="1:13" x14ac:dyDescent="0.25">
      <c r="A70">
        <v>3114</v>
      </c>
      <c r="B70" t="s">
        <v>1418</v>
      </c>
      <c r="C70" t="s">
        <v>1418</v>
      </c>
      <c r="D70" t="s">
        <v>1353</v>
      </c>
      <c r="E70">
        <v>1.4999999999999999E-2</v>
      </c>
      <c r="F70">
        <v>134</v>
      </c>
      <c r="G70">
        <v>938</v>
      </c>
      <c r="J70">
        <v>20</v>
      </c>
      <c r="K70" t="s">
        <v>105</v>
      </c>
      <c r="L70" t="s">
        <v>1354</v>
      </c>
      <c r="M70" t="s">
        <v>1355</v>
      </c>
    </row>
    <row r="71" spans="1:13" x14ac:dyDescent="0.25">
      <c r="A71">
        <v>3183</v>
      </c>
      <c r="B71" t="s">
        <v>1179</v>
      </c>
      <c r="C71" t="s">
        <v>1179</v>
      </c>
      <c r="D71" t="s">
        <v>1353</v>
      </c>
      <c r="E71">
        <v>3.5999999999999997E-2</v>
      </c>
      <c r="F71">
        <v>315</v>
      </c>
      <c r="G71">
        <v>1260</v>
      </c>
      <c r="J71">
        <v>4</v>
      </c>
      <c r="K71" t="s">
        <v>105</v>
      </c>
      <c r="L71" t="s">
        <v>1354</v>
      </c>
      <c r="M71" t="s">
        <v>1355</v>
      </c>
    </row>
    <row r="72" spans="1:13" x14ac:dyDescent="0.25">
      <c r="A72" s="221">
        <v>3284</v>
      </c>
      <c r="B72" t="s">
        <v>1419</v>
      </c>
      <c r="C72" t="s">
        <v>1419</v>
      </c>
      <c r="D72" t="s">
        <v>1353</v>
      </c>
      <c r="E72">
        <v>3.5999999999999997E-2</v>
      </c>
      <c r="F72">
        <v>315</v>
      </c>
      <c r="G72">
        <v>1260</v>
      </c>
      <c r="H72">
        <v>0</v>
      </c>
      <c r="I72">
        <v>0</v>
      </c>
      <c r="J72">
        <v>4</v>
      </c>
      <c r="K72" t="s">
        <v>105</v>
      </c>
      <c r="L72" t="s">
        <v>1354</v>
      </c>
      <c r="M72" t="s">
        <v>1355</v>
      </c>
    </row>
    <row r="73" spans="1:13" x14ac:dyDescent="0.25">
      <c r="A73" s="221">
        <v>3298</v>
      </c>
      <c r="B73" t="s">
        <v>1420</v>
      </c>
      <c r="C73" t="s">
        <v>1420</v>
      </c>
      <c r="D73" t="s">
        <v>1353</v>
      </c>
      <c r="E73">
        <v>4.5499999999999999E-2</v>
      </c>
      <c r="F73">
        <v>398</v>
      </c>
      <c r="G73">
        <v>6368</v>
      </c>
      <c r="H73">
        <v>0</v>
      </c>
      <c r="I73">
        <v>0</v>
      </c>
      <c r="J73">
        <v>16</v>
      </c>
      <c r="K73" t="s">
        <v>105</v>
      </c>
      <c r="L73" t="s">
        <v>1354</v>
      </c>
      <c r="M73" t="s">
        <v>1355</v>
      </c>
    </row>
    <row r="74" spans="1:13" x14ac:dyDescent="0.25">
      <c r="A74" s="221">
        <v>3299</v>
      </c>
      <c r="B74" t="s">
        <v>1421</v>
      </c>
      <c r="C74" t="s">
        <v>1421</v>
      </c>
      <c r="D74" t="s">
        <v>1353</v>
      </c>
      <c r="E74">
        <v>5.5199999999999999E-2</v>
      </c>
      <c r="F74">
        <v>585</v>
      </c>
      <c r="G74">
        <v>9360</v>
      </c>
      <c r="H74">
        <v>0</v>
      </c>
      <c r="I74">
        <v>0</v>
      </c>
      <c r="J74">
        <v>16</v>
      </c>
      <c r="K74" t="s">
        <v>105</v>
      </c>
      <c r="L74" t="s">
        <v>1354</v>
      </c>
      <c r="M74" t="s">
        <v>1355</v>
      </c>
    </row>
    <row r="75" spans="1:13" x14ac:dyDescent="0.25">
      <c r="A75" s="221">
        <v>3335</v>
      </c>
      <c r="B75" t="s">
        <v>1422</v>
      </c>
      <c r="C75" t="s">
        <v>1422</v>
      </c>
      <c r="D75" t="s">
        <v>1353</v>
      </c>
      <c r="E75">
        <v>6.3E-3</v>
      </c>
      <c r="F75">
        <v>54.8</v>
      </c>
      <c r="G75">
        <v>877</v>
      </c>
      <c r="H75">
        <v>0</v>
      </c>
      <c r="I75">
        <v>0</v>
      </c>
      <c r="J75">
        <v>16</v>
      </c>
      <c r="K75" t="s">
        <v>105</v>
      </c>
      <c r="L75" t="s">
        <v>1354</v>
      </c>
      <c r="M75" t="s">
        <v>1355</v>
      </c>
    </row>
    <row r="76" spans="1:13" x14ac:dyDescent="0.25">
      <c r="A76">
        <v>3409</v>
      </c>
      <c r="B76" t="s">
        <v>1423</v>
      </c>
      <c r="C76" t="s">
        <v>1423</v>
      </c>
      <c r="D76" t="s">
        <v>1353</v>
      </c>
      <c r="E76">
        <v>0.13100000000000001</v>
      </c>
      <c r="F76">
        <v>711</v>
      </c>
      <c r="G76">
        <v>10665</v>
      </c>
      <c r="H76">
        <v>82</v>
      </c>
      <c r="I76">
        <v>1230</v>
      </c>
      <c r="J76">
        <v>12</v>
      </c>
      <c r="K76" t="s">
        <v>105</v>
      </c>
      <c r="L76" t="s">
        <v>1354</v>
      </c>
      <c r="M76" t="s">
        <v>1355</v>
      </c>
    </row>
    <row r="77" spans="1:13" x14ac:dyDescent="0.25">
      <c r="A77">
        <v>3906</v>
      </c>
      <c r="B77" t="s">
        <v>1424</v>
      </c>
      <c r="C77" t="s">
        <v>1424</v>
      </c>
      <c r="D77" t="s">
        <v>1353</v>
      </c>
      <c r="E77">
        <v>0.1421</v>
      </c>
      <c r="F77">
        <v>1245</v>
      </c>
      <c r="G77">
        <v>12450</v>
      </c>
      <c r="J77">
        <v>10</v>
      </c>
      <c r="K77" t="s">
        <v>105</v>
      </c>
      <c r="L77" t="s">
        <v>1354</v>
      </c>
      <c r="M77" t="s">
        <v>1355</v>
      </c>
    </row>
    <row r="78" spans="1:13" x14ac:dyDescent="0.25">
      <c r="A78">
        <v>3907</v>
      </c>
      <c r="B78" t="s">
        <v>1425</v>
      </c>
      <c r="C78" t="s">
        <v>1425</v>
      </c>
      <c r="D78" t="s">
        <v>1353</v>
      </c>
      <c r="E78">
        <v>0.33850000000000002</v>
      </c>
      <c r="F78">
        <v>2966</v>
      </c>
      <c r="G78">
        <v>29660</v>
      </c>
      <c r="J78">
        <v>10</v>
      </c>
      <c r="K78" t="s">
        <v>105</v>
      </c>
      <c r="L78" t="s">
        <v>1354</v>
      </c>
      <c r="M78" t="s">
        <v>1355</v>
      </c>
    </row>
    <row r="79" spans="1:13" x14ac:dyDescent="0.25">
      <c r="A79">
        <v>3908</v>
      </c>
      <c r="B79" t="s">
        <v>1426</v>
      </c>
      <c r="C79" t="s">
        <v>1426</v>
      </c>
      <c r="D79" t="s">
        <v>1353</v>
      </c>
      <c r="E79">
        <v>7.7700000000000005E-2</v>
      </c>
      <c r="F79">
        <v>680</v>
      </c>
      <c r="G79">
        <v>6800</v>
      </c>
      <c r="J79">
        <v>10</v>
      </c>
      <c r="K79" t="s">
        <v>105</v>
      </c>
      <c r="L79" t="s">
        <v>1354</v>
      </c>
      <c r="M79" t="s">
        <v>1355</v>
      </c>
    </row>
    <row r="80" spans="1:13" x14ac:dyDescent="0.25">
      <c r="A80">
        <v>4284</v>
      </c>
      <c r="B80" t="s">
        <v>1135</v>
      </c>
      <c r="C80" t="s">
        <v>1135</v>
      </c>
      <c r="D80" t="s">
        <v>1353</v>
      </c>
      <c r="E80">
        <v>0.122</v>
      </c>
      <c r="F80">
        <v>1036</v>
      </c>
      <c r="G80">
        <v>15540</v>
      </c>
      <c r="J80">
        <v>15</v>
      </c>
      <c r="L80" t="s">
        <v>1354</v>
      </c>
      <c r="M80" t="s">
        <v>1355</v>
      </c>
    </row>
    <row r="81" spans="1:13" x14ac:dyDescent="0.25">
      <c r="A81">
        <v>4758</v>
      </c>
      <c r="B81" t="s">
        <v>1427</v>
      </c>
      <c r="C81" t="s">
        <v>1427</v>
      </c>
      <c r="D81" t="s">
        <v>1353</v>
      </c>
      <c r="E81">
        <v>0.02</v>
      </c>
      <c r="F81">
        <v>176</v>
      </c>
      <c r="G81">
        <v>1760</v>
      </c>
      <c r="J81">
        <v>10</v>
      </c>
      <c r="L81" t="s">
        <v>1354</v>
      </c>
      <c r="M81" t="s">
        <v>1355</v>
      </c>
    </row>
    <row r="82" spans="1:13" x14ac:dyDescent="0.25">
      <c r="A82">
        <v>4759</v>
      </c>
      <c r="B82" t="s">
        <v>1428</v>
      </c>
      <c r="C82" t="s">
        <v>1428</v>
      </c>
      <c r="D82" t="s">
        <v>1353</v>
      </c>
      <c r="E82">
        <v>4.9000000000000002E-2</v>
      </c>
      <c r="F82">
        <v>414</v>
      </c>
      <c r="G82">
        <v>6624</v>
      </c>
      <c r="J82">
        <v>16</v>
      </c>
      <c r="L82" t="s">
        <v>1354</v>
      </c>
      <c r="M82" t="s">
        <v>1355</v>
      </c>
    </row>
    <row r="86" spans="1:13" x14ac:dyDescent="0.25">
      <c r="A86" s="221" t="s">
        <v>1429</v>
      </c>
      <c r="B86" s="221"/>
      <c r="C86" s="2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sheetPr>
  <dimension ref="A1:M207"/>
  <sheetViews>
    <sheetView zoomScale="80" zoomScaleNormal="80" workbookViewId="0">
      <pane xSplit="2" ySplit="2" topLeftCell="C171" activePane="bottomRight" state="frozen"/>
      <selection pane="topRight" activeCell="A29" sqref="A29"/>
      <selection pane="bottomLeft" activeCell="A29" sqref="A29"/>
      <selection pane="bottomRight" activeCell="B196" sqref="B196"/>
    </sheetView>
  </sheetViews>
  <sheetFormatPr defaultRowHeight="15" x14ac:dyDescent="0.25"/>
  <cols>
    <col min="1" max="1" width="15.5703125" customWidth="1"/>
    <col min="2" max="2" width="69.7109375" style="85" customWidth="1"/>
    <col min="3" max="3" width="77.5703125" customWidth="1"/>
    <col min="4" max="4" width="57.140625" hidden="1" customWidth="1"/>
    <col min="5" max="5" width="68.28515625" hidden="1" customWidth="1"/>
    <col min="6" max="6" width="56.42578125" hidden="1" customWidth="1"/>
    <col min="7" max="7" width="71.42578125" hidden="1" customWidth="1"/>
    <col min="8" max="8" width="56.7109375" hidden="1" customWidth="1"/>
    <col min="9" max="9" width="15.5703125" style="70" customWidth="1"/>
    <col min="10" max="10" width="17.28515625" style="71" customWidth="1"/>
    <col min="11" max="12" width="10.7109375" style="71" customWidth="1"/>
    <col min="13" max="13" width="14.140625" style="71" customWidth="1"/>
  </cols>
  <sheetData>
    <row r="1" spans="1:13" ht="15" customHeight="1" x14ac:dyDescent="0.25">
      <c r="A1" s="90" t="s">
        <v>718</v>
      </c>
      <c r="B1" s="90"/>
      <c r="C1" s="90"/>
      <c r="D1" s="90"/>
      <c r="E1" s="90"/>
      <c r="L1" s="72"/>
      <c r="M1" s="72"/>
    </row>
    <row r="2" spans="1:13" ht="45" x14ac:dyDescent="0.25">
      <c r="A2" s="74" t="s">
        <v>1430</v>
      </c>
      <c r="B2" s="75" t="s">
        <v>720</v>
      </c>
      <c r="C2" s="76" t="s">
        <v>721</v>
      </c>
      <c r="D2" s="76" t="s">
        <v>722</v>
      </c>
      <c r="E2" s="76" t="s">
        <v>723</v>
      </c>
      <c r="F2" s="77" t="s">
        <v>724</v>
      </c>
      <c r="G2" s="77" t="s">
        <v>725</v>
      </c>
      <c r="H2" s="77" t="s">
        <v>726</v>
      </c>
      <c r="I2" s="78" t="s">
        <v>1431</v>
      </c>
      <c r="J2" s="79" t="s">
        <v>1432</v>
      </c>
      <c r="K2" s="80" t="s">
        <v>1433</v>
      </c>
      <c r="L2" s="78" t="s">
        <v>1434</v>
      </c>
      <c r="M2" s="78" t="s">
        <v>1435</v>
      </c>
    </row>
    <row r="3" spans="1:13" x14ac:dyDescent="0.25">
      <c r="B3" s="81" t="s">
        <v>734</v>
      </c>
      <c r="C3" s="82" t="str">
        <f t="shared" ref="C3:C47" si="0">IF(ISBLANK(A3),"",A3&amp;":  ") &amp;B3</f>
        <v>----------------------LIGHTING CATALOG: INTERIOR FIXTURES AND LAMPS----------------------------</v>
      </c>
      <c r="D3" s="77"/>
      <c r="E3" s="77"/>
      <c r="F3" s="77"/>
      <c r="G3" s="77"/>
      <c r="H3" s="77"/>
      <c r="I3" s="83" t="s">
        <v>735</v>
      </c>
      <c r="J3" s="70" t="s">
        <v>735</v>
      </c>
      <c r="K3" s="70" t="s">
        <v>735</v>
      </c>
      <c r="L3" s="70" t="s">
        <v>735</v>
      </c>
      <c r="M3" s="84">
        <v>1</v>
      </c>
    </row>
    <row r="4" spans="1:13" x14ac:dyDescent="0.25">
      <c r="A4" t="s">
        <v>1436</v>
      </c>
      <c r="B4" s="85" t="s">
        <v>738</v>
      </c>
      <c r="C4" s="82" t="str">
        <f t="shared" si="0"/>
        <v>L3111:  DLC-Listed LED 2' x 4' High Performance Troffer</v>
      </c>
      <c r="D4" t="s">
        <v>739</v>
      </c>
      <c r="E4" t="s">
        <v>740</v>
      </c>
      <c r="F4" t="s">
        <v>741</v>
      </c>
      <c r="G4" t="s">
        <v>742</v>
      </c>
      <c r="H4" t="s">
        <v>743</v>
      </c>
      <c r="I4" s="83">
        <v>25</v>
      </c>
      <c r="J4" s="71" t="s">
        <v>744</v>
      </c>
      <c r="K4" s="71">
        <v>3111</v>
      </c>
      <c r="L4" s="71" t="s">
        <v>1123</v>
      </c>
      <c r="M4" s="84">
        <v>1</v>
      </c>
    </row>
    <row r="5" spans="1:13" x14ac:dyDescent="0.25">
      <c r="A5" t="s">
        <v>1437</v>
      </c>
      <c r="B5" s="85" t="s">
        <v>1438</v>
      </c>
      <c r="C5" s="82" t="str">
        <f t="shared" si="0"/>
        <v>L4335:  DLC Listed LED, ≤55W, 2X4 product replacing or instead of 3- or 4-lamp T8 or T12 troffer w/LLLC</v>
      </c>
      <c r="I5" s="83">
        <v>30</v>
      </c>
      <c r="J5" s="71" t="s">
        <v>744</v>
      </c>
      <c r="K5" s="71" t="s">
        <v>1439</v>
      </c>
      <c r="L5" s="71" t="s">
        <v>1440</v>
      </c>
      <c r="M5" s="84">
        <v>1</v>
      </c>
    </row>
    <row r="6" spans="1:13" x14ac:dyDescent="0.25">
      <c r="A6" t="s">
        <v>1441</v>
      </c>
      <c r="B6" s="85" t="s">
        <v>1442</v>
      </c>
      <c r="C6" s="82" t="str">
        <f t="shared" si="0"/>
        <v>L3760:  DLC-Listed LED 1' x 4' High Performance Troffer</v>
      </c>
      <c r="D6" t="s">
        <v>748</v>
      </c>
      <c r="E6" t="s">
        <v>749</v>
      </c>
      <c r="F6" t="s">
        <v>750</v>
      </c>
      <c r="G6" t="s">
        <v>751</v>
      </c>
      <c r="H6" t="s">
        <v>743</v>
      </c>
      <c r="I6" s="83">
        <v>8</v>
      </c>
      <c r="J6" s="71" t="s">
        <v>744</v>
      </c>
      <c r="K6" s="71">
        <v>3760</v>
      </c>
      <c r="L6" s="71" t="s">
        <v>1123</v>
      </c>
      <c r="M6" s="84">
        <v>1</v>
      </c>
    </row>
    <row r="7" spans="1:13" x14ac:dyDescent="0.25">
      <c r="A7" t="s">
        <v>1443</v>
      </c>
      <c r="B7" s="85" t="s">
        <v>1444</v>
      </c>
      <c r="C7" s="82" t="str">
        <f t="shared" si="0"/>
        <v>L4334:  DLC Listed LED, &lt;44W, 1X4 product replacing or instead of 1- or 2-lamp T8 or T12 w/LLLC</v>
      </c>
      <c r="I7" s="83">
        <v>13</v>
      </c>
      <c r="J7" s="71" t="s">
        <v>744</v>
      </c>
      <c r="K7" s="71" t="s">
        <v>1445</v>
      </c>
      <c r="L7" s="71" t="s">
        <v>1440</v>
      </c>
      <c r="M7" s="84">
        <v>1</v>
      </c>
    </row>
    <row r="8" spans="1:13" x14ac:dyDescent="0.25">
      <c r="A8" t="s">
        <v>1446</v>
      </c>
      <c r="B8" s="85" t="s">
        <v>1447</v>
      </c>
      <c r="C8" s="82" t="str">
        <f t="shared" si="0"/>
        <v>L3400:  DLC Listed 2'x2' LED Troffer, replacing Fixture w/ 2 or more T8 or T12 lamps</v>
      </c>
      <c r="D8" t="s">
        <v>754</v>
      </c>
      <c r="E8" t="s">
        <v>755</v>
      </c>
      <c r="F8" t="s">
        <v>756</v>
      </c>
      <c r="G8" t="s">
        <v>757</v>
      </c>
      <c r="H8" t="s">
        <v>743</v>
      </c>
      <c r="I8" s="83">
        <v>10</v>
      </c>
      <c r="J8" s="71" t="s">
        <v>744</v>
      </c>
      <c r="K8" s="71">
        <v>3400</v>
      </c>
      <c r="L8" s="71" t="s">
        <v>1123</v>
      </c>
      <c r="M8" s="84">
        <v>1</v>
      </c>
    </row>
    <row r="9" spans="1:13" x14ac:dyDescent="0.25">
      <c r="A9" t="s">
        <v>1448</v>
      </c>
      <c r="B9" s="85" t="s">
        <v>1449</v>
      </c>
      <c r="C9" s="82" t="str">
        <f t="shared" si="0"/>
        <v>L4332:  DLC Listed 2X2 LED, ≤36W, replacing or instead of Fixture with 2 or more T8 or T12 Lamps w/LLLC</v>
      </c>
      <c r="I9" s="83">
        <v>15</v>
      </c>
      <c r="J9" s="71" t="s">
        <v>744</v>
      </c>
      <c r="K9" s="71" t="s">
        <v>1450</v>
      </c>
      <c r="L9" s="71" t="s">
        <v>1440</v>
      </c>
      <c r="M9" s="84">
        <v>1</v>
      </c>
    </row>
    <row r="10" spans="1:13" x14ac:dyDescent="0.25">
      <c r="A10" t="s">
        <v>1451</v>
      </c>
      <c r="B10" s="85" t="s">
        <v>1452</v>
      </c>
      <c r="C10" s="82" t="str">
        <f t="shared" si="0"/>
        <v>L3401:  DLC Listed 2'x2' LED Troffer, replacing Fixture w/ 2 or more 2G11 lamps</v>
      </c>
      <c r="D10" t="s">
        <v>760</v>
      </c>
      <c r="E10" t="s">
        <v>755</v>
      </c>
      <c r="F10" t="s">
        <v>756</v>
      </c>
      <c r="G10" t="s">
        <v>761</v>
      </c>
      <c r="H10" t="s">
        <v>743</v>
      </c>
      <c r="I10" s="83">
        <v>20</v>
      </c>
      <c r="J10" s="71" t="s">
        <v>744</v>
      </c>
      <c r="K10" s="71">
        <v>3401</v>
      </c>
      <c r="L10" s="71" t="s">
        <v>1123</v>
      </c>
      <c r="M10" s="84">
        <v>1</v>
      </c>
    </row>
    <row r="11" spans="1:13" x14ac:dyDescent="0.25">
      <c r="A11" t="s">
        <v>1453</v>
      </c>
      <c r="B11" s="85" t="s">
        <v>1454</v>
      </c>
      <c r="C11" s="82" t="str">
        <f t="shared" si="0"/>
        <v>L4333:  DLC Listed 2X2 LED, ≤85W, replacing or instead of Fixture with 2 or more 2G11 base Lamps w/LLLC</v>
      </c>
      <c r="I11" s="83">
        <v>25</v>
      </c>
      <c r="J11" s="71" t="s">
        <v>744</v>
      </c>
      <c r="K11" s="71" t="s">
        <v>1455</v>
      </c>
      <c r="L11" s="71" t="s">
        <v>1440</v>
      </c>
      <c r="M11" s="84">
        <v>1</v>
      </c>
    </row>
    <row r="12" spans="1:13" x14ac:dyDescent="0.25">
      <c r="A12" t="s">
        <v>1456</v>
      </c>
      <c r="B12" s="85" t="s">
        <v>763</v>
      </c>
      <c r="C12" s="82" t="str">
        <f t="shared" si="0"/>
        <v>L4314:  4' 2-lamp TLED &lt;24W replacing 8' 1-lamp T8 or T12</v>
      </c>
      <c r="I12" s="83">
        <v>7.5</v>
      </c>
      <c r="J12" s="71" t="s">
        <v>744</v>
      </c>
      <c r="K12" s="71" t="s">
        <v>764</v>
      </c>
      <c r="L12" s="71" t="s">
        <v>1457</v>
      </c>
      <c r="M12" s="84">
        <v>1</v>
      </c>
    </row>
    <row r="13" spans="1:13" x14ac:dyDescent="0.25">
      <c r="A13" t="s">
        <v>1458</v>
      </c>
      <c r="B13" s="85" t="s">
        <v>766</v>
      </c>
      <c r="C13" s="82" t="str">
        <f t="shared" si="0"/>
        <v>L4317:  4' 2-lamp TLED &lt;24W replacing 8' 1-lamp T8HO or T12HO</v>
      </c>
      <c r="I13" s="83">
        <v>7.5</v>
      </c>
      <c r="J13" s="71" t="s">
        <v>744</v>
      </c>
      <c r="K13" s="71" t="s">
        <v>767</v>
      </c>
      <c r="L13" s="71" t="s">
        <v>1457</v>
      </c>
      <c r="M13" s="84">
        <v>1</v>
      </c>
    </row>
    <row r="14" spans="1:13" x14ac:dyDescent="0.25">
      <c r="A14" t="s">
        <v>1459</v>
      </c>
      <c r="B14" s="85" t="s">
        <v>769</v>
      </c>
      <c r="C14" s="82" t="str">
        <f t="shared" si="0"/>
        <v>L4320:  4' 4-lamp TLED &lt;24W replacing 8' 2-lamp T8 or T12</v>
      </c>
      <c r="I14" s="83">
        <v>15</v>
      </c>
      <c r="J14" s="71" t="s">
        <v>744</v>
      </c>
      <c r="K14" s="71" t="s">
        <v>770</v>
      </c>
      <c r="L14" s="71" t="s">
        <v>1457</v>
      </c>
      <c r="M14" s="84">
        <v>1</v>
      </c>
    </row>
    <row r="15" spans="1:13" x14ac:dyDescent="0.25">
      <c r="A15" t="s">
        <v>1460</v>
      </c>
      <c r="B15" s="85" t="s">
        <v>772</v>
      </c>
      <c r="C15" s="82" t="str">
        <f t="shared" si="0"/>
        <v>L4323:  4' 4-lamp TLED &lt;24W replacing 8' 2-lamp T8HO or T12HO</v>
      </c>
      <c r="I15" s="83">
        <v>15</v>
      </c>
      <c r="J15" s="71" t="s">
        <v>744</v>
      </c>
      <c r="K15" s="71" t="s">
        <v>773</v>
      </c>
      <c r="L15" s="71" t="s">
        <v>1457</v>
      </c>
      <c r="M15" s="84">
        <v>1</v>
      </c>
    </row>
    <row r="16" spans="1:13" x14ac:dyDescent="0.25">
      <c r="A16" t="s">
        <v>1461</v>
      </c>
      <c r="B16" s="85" t="s">
        <v>775</v>
      </c>
      <c r="C16" s="82" t="str">
        <f t="shared" si="0"/>
        <v>L4326:  4' 2-lamp TLED &lt;24W replacing 8' 2-lamp T8 or T12</v>
      </c>
      <c r="I16" s="83">
        <v>20</v>
      </c>
      <c r="J16" s="71" t="s">
        <v>744</v>
      </c>
      <c r="K16" s="71" t="s">
        <v>776</v>
      </c>
      <c r="L16" s="71" t="s">
        <v>1457</v>
      </c>
      <c r="M16" s="84">
        <v>1</v>
      </c>
    </row>
    <row r="17" spans="1:13" x14ac:dyDescent="0.25">
      <c r="A17" t="s">
        <v>1462</v>
      </c>
      <c r="B17" s="85" t="s">
        <v>778</v>
      </c>
      <c r="C17" s="82" t="str">
        <f t="shared" si="0"/>
        <v>L4329:  4' 2-lamp TLED &lt;24W replacing 8' 2-lamp T8HO or T12HO</v>
      </c>
      <c r="I17" s="83">
        <v>20</v>
      </c>
      <c r="J17" s="71" t="s">
        <v>744</v>
      </c>
      <c r="K17" s="71" t="s">
        <v>779</v>
      </c>
      <c r="L17" s="71" t="s">
        <v>1457</v>
      </c>
      <c r="M17" s="84">
        <v>1</v>
      </c>
    </row>
    <row r="18" spans="1:13" x14ac:dyDescent="0.25">
      <c r="A18" t="s">
        <v>1463</v>
      </c>
      <c r="B18" s="85" t="s">
        <v>781</v>
      </c>
      <c r="C18" s="82" t="str">
        <f t="shared" si="0"/>
        <v>L2276:  Permanently remove 4' T12 lamp</v>
      </c>
      <c r="D18" t="s">
        <v>782</v>
      </c>
      <c r="E18" t="s">
        <v>783</v>
      </c>
      <c r="F18" t="s">
        <v>784</v>
      </c>
      <c r="G18" t="s">
        <v>785</v>
      </c>
      <c r="H18" t="s">
        <v>786</v>
      </c>
      <c r="I18" s="83">
        <v>2</v>
      </c>
      <c r="J18" s="71" t="s">
        <v>787</v>
      </c>
      <c r="K18" s="71">
        <v>2276</v>
      </c>
      <c r="L18" s="71" t="s">
        <v>1111</v>
      </c>
      <c r="M18" s="84">
        <v>1</v>
      </c>
    </row>
    <row r="19" spans="1:13" x14ac:dyDescent="0.25">
      <c r="A19" t="s">
        <v>1464</v>
      </c>
      <c r="B19" s="85" t="s">
        <v>789</v>
      </c>
      <c r="C19" s="82" t="str">
        <f t="shared" si="0"/>
        <v>L2277:  Permanently remove 4' T8 lamp</v>
      </c>
      <c r="D19" t="s">
        <v>782</v>
      </c>
      <c r="E19" t="s">
        <v>783</v>
      </c>
      <c r="F19" t="s">
        <v>784</v>
      </c>
      <c r="G19" t="s">
        <v>785</v>
      </c>
      <c r="H19" t="s">
        <v>786</v>
      </c>
      <c r="I19" s="83">
        <v>2</v>
      </c>
      <c r="J19" s="71" t="s">
        <v>787</v>
      </c>
      <c r="K19" s="71">
        <v>2277</v>
      </c>
      <c r="L19" s="71" t="s">
        <v>1111</v>
      </c>
      <c r="M19" s="84">
        <v>1</v>
      </c>
    </row>
    <row r="20" spans="1:13" x14ac:dyDescent="0.25">
      <c r="A20" t="s">
        <v>1465</v>
      </c>
      <c r="B20" s="85" t="s">
        <v>794</v>
      </c>
      <c r="C20" s="82" t="str">
        <f t="shared" si="0"/>
        <v>L3091:  ≤ 155W LED High Bay/Low Bay, replacing or instead of 250W HID</v>
      </c>
      <c r="D20" t="s">
        <v>795</v>
      </c>
      <c r="E20" t="s">
        <v>796</v>
      </c>
      <c r="F20" t="s">
        <v>797</v>
      </c>
      <c r="G20" t="s">
        <v>798</v>
      </c>
      <c r="H20" t="s">
        <v>799</v>
      </c>
      <c r="I20" s="83">
        <v>30</v>
      </c>
      <c r="J20" s="71" t="s">
        <v>744</v>
      </c>
      <c r="K20" s="71">
        <v>3091</v>
      </c>
      <c r="L20" s="71" t="s">
        <v>1123</v>
      </c>
      <c r="M20" s="84">
        <v>1</v>
      </c>
    </row>
    <row r="21" spans="1:13" x14ac:dyDescent="0.25">
      <c r="A21" t="s">
        <v>1466</v>
      </c>
      <c r="B21" s="85" t="s">
        <v>801</v>
      </c>
      <c r="C21" s="82" t="str">
        <f t="shared" si="0"/>
        <v>L3092:  ≤ 250W LED High Bay/Low Bay, instead of 320-399W HID</v>
      </c>
      <c r="D21" t="s">
        <v>795</v>
      </c>
      <c r="E21" t="s">
        <v>796</v>
      </c>
      <c r="F21" t="s">
        <v>797</v>
      </c>
      <c r="G21" t="s">
        <v>798</v>
      </c>
      <c r="H21" t="s">
        <v>802</v>
      </c>
      <c r="I21" s="83">
        <v>35</v>
      </c>
      <c r="J21" s="71" t="s">
        <v>744</v>
      </c>
      <c r="K21" s="71">
        <v>3092</v>
      </c>
      <c r="L21" s="71" t="s">
        <v>1123</v>
      </c>
      <c r="M21" s="84">
        <v>1</v>
      </c>
    </row>
    <row r="22" spans="1:13" x14ac:dyDescent="0.25">
      <c r="A22" t="s">
        <v>1467</v>
      </c>
      <c r="B22" s="85" t="s">
        <v>804</v>
      </c>
      <c r="C22" s="82" t="str">
        <f t="shared" si="0"/>
        <v>L3093:  ≤ 250W LED High Bay/Low Bay, replacing 400W HID</v>
      </c>
      <c r="D22" t="s">
        <v>795</v>
      </c>
      <c r="E22" t="s">
        <v>796</v>
      </c>
      <c r="F22" t="s">
        <v>797</v>
      </c>
      <c r="G22" t="s">
        <v>798</v>
      </c>
      <c r="H22" t="s">
        <v>802</v>
      </c>
      <c r="I22" s="83">
        <v>50</v>
      </c>
      <c r="J22" s="71" t="s">
        <v>744</v>
      </c>
      <c r="K22" s="71">
        <v>3093</v>
      </c>
      <c r="L22" s="71" t="s">
        <v>1111</v>
      </c>
      <c r="M22" s="84">
        <v>1</v>
      </c>
    </row>
    <row r="23" spans="1:13" x14ac:dyDescent="0.25">
      <c r="A23" t="s">
        <v>1468</v>
      </c>
      <c r="B23" s="85" t="s">
        <v>806</v>
      </c>
      <c r="C23" s="82" t="str">
        <f t="shared" si="0"/>
        <v>L3094:  ≤ 365W LED High Bay/Low Bay, replacing 400W HID</v>
      </c>
      <c r="D23" t="s">
        <v>795</v>
      </c>
      <c r="E23" t="s">
        <v>796</v>
      </c>
      <c r="F23" t="s">
        <v>797</v>
      </c>
      <c r="G23" t="s">
        <v>798</v>
      </c>
      <c r="H23" t="s">
        <v>807</v>
      </c>
      <c r="I23" s="83">
        <v>30</v>
      </c>
      <c r="J23" s="71" t="s">
        <v>744</v>
      </c>
      <c r="K23" s="71">
        <v>3094</v>
      </c>
      <c r="L23" s="71" t="s">
        <v>1111</v>
      </c>
      <c r="M23" s="84">
        <v>1</v>
      </c>
    </row>
    <row r="24" spans="1:13" x14ac:dyDescent="0.25">
      <c r="A24" t="s">
        <v>1469</v>
      </c>
      <c r="B24" s="85" t="s">
        <v>809</v>
      </c>
      <c r="C24" s="82" t="str">
        <f t="shared" si="0"/>
        <v>L3095:  ≤ 500W LED High Bay/Low Bay, replacing or instead of 1000W HID</v>
      </c>
      <c r="D24" t="s">
        <v>795</v>
      </c>
      <c r="E24" t="s">
        <v>796</v>
      </c>
      <c r="F24" t="s">
        <v>797</v>
      </c>
      <c r="G24" t="s">
        <v>810</v>
      </c>
      <c r="H24" t="s">
        <v>811</v>
      </c>
      <c r="I24" s="83">
        <v>80</v>
      </c>
      <c r="J24" s="71" t="s">
        <v>744</v>
      </c>
      <c r="K24" s="71">
        <v>3095</v>
      </c>
      <c r="L24" s="71" t="s">
        <v>1123</v>
      </c>
      <c r="M24" s="84">
        <v>1</v>
      </c>
    </row>
    <row r="25" spans="1:13" x14ac:dyDescent="0.25">
      <c r="A25" t="s">
        <v>1470</v>
      </c>
      <c r="B25" s="85" t="s">
        <v>813</v>
      </c>
      <c r="C25" s="82" t="str">
        <f t="shared" si="0"/>
        <v>L3096:  ≤ 800W LED High Bay/Low Bay, replacing or instead of 1000W HID</v>
      </c>
      <c r="D25" t="s">
        <v>795</v>
      </c>
      <c r="E25" t="s">
        <v>796</v>
      </c>
      <c r="F25" t="s">
        <v>797</v>
      </c>
      <c r="G25" t="s">
        <v>814</v>
      </c>
      <c r="H25" t="s">
        <v>815</v>
      </c>
      <c r="I25" s="83">
        <v>50</v>
      </c>
      <c r="J25" s="71" t="s">
        <v>744</v>
      </c>
      <c r="K25" s="71">
        <v>3096</v>
      </c>
      <c r="L25" s="71" t="s">
        <v>1123</v>
      </c>
      <c r="M25" s="84">
        <v>1</v>
      </c>
    </row>
    <row r="26" spans="1:13" x14ac:dyDescent="0.25">
      <c r="A26" t="s">
        <v>1471</v>
      </c>
      <c r="B26" s="85" t="s">
        <v>817</v>
      </c>
      <c r="C26" s="82" t="str">
        <f t="shared" si="0"/>
        <v>L3393:  ≤180W LED High Bay/Low Bay, replacing or instead of 6L T8 or 4L T5HO</v>
      </c>
      <c r="I26" s="83">
        <v>30</v>
      </c>
      <c r="J26" s="71" t="s">
        <v>744</v>
      </c>
      <c r="K26" s="71" t="s">
        <v>818</v>
      </c>
      <c r="L26" s="71" t="s">
        <v>1440</v>
      </c>
      <c r="M26" s="84">
        <v>1</v>
      </c>
    </row>
    <row r="27" spans="1:13" x14ac:dyDescent="0.25">
      <c r="A27" t="s">
        <v>1472</v>
      </c>
      <c r="B27" s="85" t="s">
        <v>820</v>
      </c>
      <c r="C27" s="82" t="str">
        <f t="shared" si="0"/>
        <v>L4347:  ≤250W LED High Bay/Low Bay, replacing or instead of 8L T8 or 6L T5HO</v>
      </c>
      <c r="I27" s="83">
        <v>40</v>
      </c>
      <c r="J27" s="71" t="s">
        <v>744</v>
      </c>
      <c r="K27" s="71" t="s">
        <v>821</v>
      </c>
      <c r="L27" s="71" t="s">
        <v>1440</v>
      </c>
      <c r="M27" s="84">
        <v>1</v>
      </c>
    </row>
    <row r="28" spans="1:13" x14ac:dyDescent="0.25">
      <c r="A28" t="s">
        <v>1473</v>
      </c>
      <c r="B28" s="85" t="s">
        <v>1474</v>
      </c>
      <c r="C28" s="82" t="str">
        <f t="shared" si="0"/>
        <v>L4354:  LED Downlight Fixtures replacing or instead of Incandescent, CFL or HID fixture (See system wattage table on pg. 55 of Lightring Catalog for baseline inputs)</v>
      </c>
      <c r="I28" s="83">
        <v>0.15</v>
      </c>
      <c r="J28" s="71" t="s">
        <v>824</v>
      </c>
      <c r="K28" s="71" t="s">
        <v>825</v>
      </c>
      <c r="L28" s="71" t="s">
        <v>1440</v>
      </c>
      <c r="M28" s="84">
        <v>1</v>
      </c>
    </row>
    <row r="29" spans="1:13" x14ac:dyDescent="0.25">
      <c r="A29" t="s">
        <v>1475</v>
      </c>
      <c r="B29" s="85" t="s">
        <v>1476</v>
      </c>
      <c r="C29" s="82" t="str">
        <f t="shared" si="0"/>
        <v>L3736:  LED track/mono/accent fixtures ≤18W replacing or instead of 35-99W Incandescent</v>
      </c>
      <c r="D29" t="s">
        <v>1477</v>
      </c>
      <c r="E29" t="s">
        <v>1478</v>
      </c>
      <c r="F29" t="s">
        <v>1479</v>
      </c>
      <c r="G29" t="s">
        <v>1480</v>
      </c>
      <c r="H29" t="s">
        <v>1481</v>
      </c>
      <c r="I29" s="83">
        <v>7.5</v>
      </c>
      <c r="J29" s="71" t="s">
        <v>744</v>
      </c>
      <c r="K29" s="71">
        <v>3736</v>
      </c>
      <c r="L29" s="71" t="s">
        <v>1123</v>
      </c>
      <c r="M29" s="84">
        <v>1</v>
      </c>
    </row>
    <row r="30" spans="1:13" x14ac:dyDescent="0.25">
      <c r="A30" t="s">
        <v>1482</v>
      </c>
      <c r="B30" s="85" t="s">
        <v>1483</v>
      </c>
      <c r="C30" s="82" t="str">
        <f t="shared" si="0"/>
        <v>L3737:  LED track/mono/accent fixtures &gt;18W replacing or instead of 100W Incandescent or 50-100W HID</v>
      </c>
      <c r="D30" t="s">
        <v>1484</v>
      </c>
      <c r="E30" t="s">
        <v>1478</v>
      </c>
      <c r="F30" t="s">
        <v>1479</v>
      </c>
      <c r="G30" t="s">
        <v>1480</v>
      </c>
      <c r="H30" t="s">
        <v>1481</v>
      </c>
      <c r="I30" s="83">
        <v>15</v>
      </c>
      <c r="J30" s="71" t="s">
        <v>744</v>
      </c>
      <c r="K30" s="71">
        <v>3737</v>
      </c>
      <c r="L30" s="71" t="s">
        <v>1123</v>
      </c>
      <c r="M30" s="84">
        <v>1</v>
      </c>
    </row>
    <row r="31" spans="1:13" x14ac:dyDescent="0.25">
      <c r="A31" t="s">
        <v>1485</v>
      </c>
      <c r="B31" s="85" t="s">
        <v>827</v>
      </c>
      <c r="C31" s="82" t="str">
        <f t="shared" si="0"/>
        <v>L3903:  Interior LED Signage</v>
      </c>
      <c r="D31" t="s">
        <v>828</v>
      </c>
      <c r="E31" t="s">
        <v>829</v>
      </c>
      <c r="F31" t="s">
        <v>830</v>
      </c>
      <c r="G31" t="s">
        <v>831</v>
      </c>
      <c r="H31" t="s">
        <v>832</v>
      </c>
      <c r="I31" s="83">
        <v>0.2</v>
      </c>
      <c r="J31" s="71" t="s">
        <v>824</v>
      </c>
      <c r="K31" s="71">
        <v>3903</v>
      </c>
      <c r="L31" s="71" t="s">
        <v>1111</v>
      </c>
      <c r="M31" s="84">
        <v>1</v>
      </c>
    </row>
    <row r="32" spans="1:13" x14ac:dyDescent="0.25">
      <c r="A32" t="s">
        <v>1486</v>
      </c>
      <c r="B32" s="85" t="s">
        <v>834</v>
      </c>
      <c r="C32" s="82" t="str">
        <f t="shared" si="0"/>
        <v>L3097:  LED Stairwell or Passageway Fixture</v>
      </c>
      <c r="D32" t="s">
        <v>835</v>
      </c>
      <c r="E32" t="s">
        <v>836</v>
      </c>
      <c r="F32" t="s">
        <v>837</v>
      </c>
      <c r="G32" t="s">
        <v>838</v>
      </c>
      <c r="H32" t="s">
        <v>839</v>
      </c>
      <c r="I32" s="83">
        <v>20</v>
      </c>
      <c r="J32" s="71" t="s">
        <v>744</v>
      </c>
      <c r="K32" s="71">
        <v>3097</v>
      </c>
      <c r="L32" s="71" t="s">
        <v>1123</v>
      </c>
      <c r="M32" s="84">
        <v>1</v>
      </c>
    </row>
    <row r="33" spans="1:13" x14ac:dyDescent="0.25">
      <c r="A33" t="s">
        <v>1487</v>
      </c>
      <c r="B33" s="85" t="s">
        <v>847</v>
      </c>
      <c r="C33" s="82" t="str">
        <f t="shared" si="0"/>
        <v>L3952:  ENERGY STAR Omnidirectional/Decorative LED Lamp, 1,600-1,999 lumens, Interior</v>
      </c>
      <c r="D33" t="s">
        <v>848</v>
      </c>
      <c r="E33" t="s">
        <v>849</v>
      </c>
      <c r="F33" t="s">
        <v>850</v>
      </c>
      <c r="G33" t="s">
        <v>851</v>
      </c>
      <c r="H33" t="s">
        <v>852</v>
      </c>
      <c r="I33" s="83">
        <v>3</v>
      </c>
      <c r="J33" s="71" t="s">
        <v>853</v>
      </c>
      <c r="K33" s="71">
        <v>3952</v>
      </c>
      <c r="L33" s="71" t="s">
        <v>1123</v>
      </c>
      <c r="M33" s="84">
        <v>0.5</v>
      </c>
    </row>
    <row r="34" spans="1:13" x14ac:dyDescent="0.25">
      <c r="A34" t="s">
        <v>1488</v>
      </c>
      <c r="B34" s="85" t="s">
        <v>855</v>
      </c>
      <c r="C34" s="82" t="str">
        <f t="shared" si="0"/>
        <v>L3953:  ENERGY STAR Omnidirectional/Decorative LED Lamp, 1,100-1,599 lumens, Interior</v>
      </c>
      <c r="D34" t="s">
        <v>848</v>
      </c>
      <c r="E34" t="s">
        <v>849</v>
      </c>
      <c r="F34" t="s">
        <v>850</v>
      </c>
      <c r="G34" t="s">
        <v>856</v>
      </c>
      <c r="H34" t="s">
        <v>852</v>
      </c>
      <c r="I34" s="83">
        <v>2</v>
      </c>
      <c r="J34" s="71" t="s">
        <v>853</v>
      </c>
      <c r="K34" s="71">
        <v>3953</v>
      </c>
      <c r="L34" s="71" t="s">
        <v>1123</v>
      </c>
      <c r="M34" s="84">
        <v>0.5</v>
      </c>
    </row>
    <row r="35" spans="1:13" x14ac:dyDescent="0.25">
      <c r="A35" t="s">
        <v>1489</v>
      </c>
      <c r="B35" s="85" t="s">
        <v>858</v>
      </c>
      <c r="C35" s="82" t="str">
        <f t="shared" si="0"/>
        <v>L3954:  ENERGY STAR Omnidirectional/Decorative LED Lamp, 800-1,099 lumens, Interior</v>
      </c>
      <c r="D35" t="s">
        <v>848</v>
      </c>
      <c r="E35" t="s">
        <v>849</v>
      </c>
      <c r="F35" t="s">
        <v>850</v>
      </c>
      <c r="G35" t="s">
        <v>859</v>
      </c>
      <c r="H35" t="s">
        <v>852</v>
      </c>
      <c r="I35" s="83">
        <v>1.5</v>
      </c>
      <c r="J35" s="71" t="s">
        <v>853</v>
      </c>
      <c r="K35" s="71">
        <v>3954</v>
      </c>
      <c r="L35" s="71" t="s">
        <v>1123</v>
      </c>
      <c r="M35" s="84">
        <v>0.5</v>
      </c>
    </row>
    <row r="36" spans="1:13" x14ac:dyDescent="0.25">
      <c r="A36" t="s">
        <v>1490</v>
      </c>
      <c r="B36" s="85" t="s">
        <v>861</v>
      </c>
      <c r="C36" s="82" t="str">
        <f t="shared" si="0"/>
        <v>L3955:  ENERGY STAR Omnidirectional/Decorative LED Lamp, 450-799 lumens, Interior</v>
      </c>
      <c r="D36" t="s">
        <v>848</v>
      </c>
      <c r="E36" t="s">
        <v>849</v>
      </c>
      <c r="F36" t="s">
        <v>850</v>
      </c>
      <c r="G36" t="s">
        <v>862</v>
      </c>
      <c r="H36" t="s">
        <v>852</v>
      </c>
      <c r="I36" s="83">
        <v>1</v>
      </c>
      <c r="J36" s="71" t="s">
        <v>853</v>
      </c>
      <c r="K36" s="71">
        <v>3955</v>
      </c>
      <c r="L36" s="71" t="s">
        <v>1123</v>
      </c>
      <c r="M36" s="84">
        <v>0.5</v>
      </c>
    </row>
    <row r="37" spans="1:13" x14ac:dyDescent="0.25">
      <c r="A37" t="s">
        <v>1491</v>
      </c>
      <c r="B37" s="85" t="s">
        <v>864</v>
      </c>
      <c r="C37" s="82" t="str">
        <f t="shared" si="0"/>
        <v>L3956:  ENERGY STAR Omnidirectional/Decorative LED Lamp, 250-449 lumens, Interior</v>
      </c>
      <c r="D37" t="s">
        <v>848</v>
      </c>
      <c r="E37" t="s">
        <v>849</v>
      </c>
      <c r="F37" t="s">
        <v>850</v>
      </c>
      <c r="G37" t="s">
        <v>865</v>
      </c>
      <c r="H37" t="s">
        <v>852</v>
      </c>
      <c r="I37" s="83">
        <v>1</v>
      </c>
      <c r="J37" s="71" t="s">
        <v>853</v>
      </c>
      <c r="K37" s="71">
        <v>3956</v>
      </c>
      <c r="L37" s="71" t="s">
        <v>1123</v>
      </c>
      <c r="M37" s="84">
        <v>0.5</v>
      </c>
    </row>
    <row r="38" spans="1:13" x14ac:dyDescent="0.25">
      <c r="A38" t="s">
        <v>1492</v>
      </c>
      <c r="B38" s="85" t="s">
        <v>867</v>
      </c>
      <c r="C38" s="82" t="str">
        <f t="shared" si="0"/>
        <v>L3941:  ENERGY STAR Directional LED replacing incandescent 120W – 250W, Interior</v>
      </c>
      <c r="D38" t="s">
        <v>868</v>
      </c>
      <c r="E38" t="s">
        <v>869</v>
      </c>
      <c r="F38" t="s">
        <v>850</v>
      </c>
      <c r="G38" t="s">
        <v>870</v>
      </c>
      <c r="H38" t="s">
        <v>852</v>
      </c>
      <c r="I38" s="83">
        <v>5</v>
      </c>
      <c r="J38" s="71" t="s">
        <v>853</v>
      </c>
      <c r="K38" s="71">
        <v>3941</v>
      </c>
      <c r="L38" s="71" t="s">
        <v>1111</v>
      </c>
      <c r="M38" s="84">
        <v>0.5</v>
      </c>
    </row>
    <row r="39" spans="1:13" x14ac:dyDescent="0.25">
      <c r="A39" t="s">
        <v>1493</v>
      </c>
      <c r="B39" s="85" t="s">
        <v>872</v>
      </c>
      <c r="C39" s="82" t="str">
        <f t="shared" si="0"/>
        <v>L3942:  ENERGY STAR Directional LED replacing incandescent 100W – 119W, Interior</v>
      </c>
      <c r="D39" t="s">
        <v>868</v>
      </c>
      <c r="E39" t="s">
        <v>869</v>
      </c>
      <c r="F39" t="s">
        <v>850</v>
      </c>
      <c r="G39" t="s">
        <v>873</v>
      </c>
      <c r="H39" t="s">
        <v>852</v>
      </c>
      <c r="I39" s="83">
        <v>4</v>
      </c>
      <c r="J39" s="71" t="s">
        <v>853</v>
      </c>
      <c r="K39" s="71">
        <v>3942</v>
      </c>
      <c r="L39" s="71" t="s">
        <v>1111</v>
      </c>
      <c r="M39" s="84">
        <v>0.5</v>
      </c>
    </row>
    <row r="40" spans="1:13" x14ac:dyDescent="0.25">
      <c r="A40" t="s">
        <v>1494</v>
      </c>
      <c r="B40" s="85" t="s">
        <v>875</v>
      </c>
      <c r="C40" s="82" t="str">
        <f t="shared" si="0"/>
        <v>L3943:  ENERGY STAR Directional LED replacing incandescent 75W – 99W, Interior</v>
      </c>
      <c r="D40" t="s">
        <v>868</v>
      </c>
      <c r="E40" t="s">
        <v>869</v>
      </c>
      <c r="F40" t="s">
        <v>850</v>
      </c>
      <c r="G40" t="s">
        <v>876</v>
      </c>
      <c r="H40" t="s">
        <v>852</v>
      </c>
      <c r="I40" s="83">
        <v>3</v>
      </c>
      <c r="J40" s="71" t="s">
        <v>853</v>
      </c>
      <c r="K40" s="71">
        <v>3943</v>
      </c>
      <c r="L40" s="71" t="s">
        <v>1111</v>
      </c>
      <c r="M40" s="84">
        <v>0.5</v>
      </c>
    </row>
    <row r="41" spans="1:13" x14ac:dyDescent="0.25">
      <c r="A41" t="s">
        <v>1495</v>
      </c>
      <c r="B41" s="85" t="s">
        <v>878</v>
      </c>
      <c r="C41" s="82" t="str">
        <f t="shared" si="0"/>
        <v>L3944:  ENERGY STAR Directional LED replacing incandescent 55W – 74W, Interior</v>
      </c>
      <c r="D41" t="s">
        <v>868</v>
      </c>
      <c r="E41" t="s">
        <v>869</v>
      </c>
      <c r="F41" t="s">
        <v>850</v>
      </c>
      <c r="G41" t="s">
        <v>879</v>
      </c>
      <c r="H41" t="s">
        <v>852</v>
      </c>
      <c r="I41" s="83">
        <v>2</v>
      </c>
      <c r="J41" s="71" t="s">
        <v>853</v>
      </c>
      <c r="K41" s="71">
        <v>3944</v>
      </c>
      <c r="L41" s="71" t="s">
        <v>1111</v>
      </c>
      <c r="M41" s="84">
        <v>0.5</v>
      </c>
    </row>
    <row r="42" spans="1:13" x14ac:dyDescent="0.25">
      <c r="A42" t="s">
        <v>1496</v>
      </c>
      <c r="B42" s="85" t="s">
        <v>881</v>
      </c>
      <c r="C42" s="82" t="str">
        <f t="shared" si="0"/>
        <v>L3945:  ENERGY STAR Directional LED replacing incandescent 36W – 54W, Interior</v>
      </c>
      <c r="D42" t="s">
        <v>868</v>
      </c>
      <c r="E42" t="s">
        <v>869</v>
      </c>
      <c r="F42" t="s">
        <v>850</v>
      </c>
      <c r="G42" t="s">
        <v>882</v>
      </c>
      <c r="H42" t="s">
        <v>852</v>
      </c>
      <c r="I42" s="83">
        <v>1.5</v>
      </c>
      <c r="J42" s="71" t="s">
        <v>853</v>
      </c>
      <c r="K42" s="71">
        <v>3945</v>
      </c>
      <c r="L42" s="71" t="s">
        <v>1111</v>
      </c>
      <c r="M42" s="84">
        <v>0.5</v>
      </c>
    </row>
    <row r="43" spans="1:13" x14ac:dyDescent="0.25">
      <c r="A43" t="s">
        <v>1497</v>
      </c>
      <c r="B43" s="85" t="s">
        <v>884</v>
      </c>
      <c r="C43" s="82" t="str">
        <f t="shared" si="0"/>
        <v>L3946:  ENERGY STAR Directional LED replacing incandescent ≤ 35W, Interior</v>
      </c>
      <c r="D43" t="s">
        <v>868</v>
      </c>
      <c r="E43" t="s">
        <v>869</v>
      </c>
      <c r="F43" t="s">
        <v>850</v>
      </c>
      <c r="G43" t="s">
        <v>885</v>
      </c>
      <c r="H43" t="s">
        <v>852</v>
      </c>
      <c r="I43" s="83">
        <v>1</v>
      </c>
      <c r="J43" s="71" t="s">
        <v>853</v>
      </c>
      <c r="K43" s="71">
        <v>3946</v>
      </c>
      <c r="L43" s="71" t="s">
        <v>1111</v>
      </c>
      <c r="M43" s="84">
        <v>0.5</v>
      </c>
    </row>
    <row r="44" spans="1:13" x14ac:dyDescent="0.25">
      <c r="A44" t="s">
        <v>1498</v>
      </c>
      <c r="B44" s="85" t="s">
        <v>887</v>
      </c>
      <c r="C44" s="82" t="str">
        <f t="shared" si="0"/>
        <v>L3932:  ENERGY STAR Directional LED replacing CFL ≥ 23W, Interior</v>
      </c>
      <c r="D44" t="s">
        <v>868</v>
      </c>
      <c r="E44" t="s">
        <v>888</v>
      </c>
      <c r="F44" t="s">
        <v>850</v>
      </c>
      <c r="G44" t="s">
        <v>889</v>
      </c>
      <c r="H44" t="s">
        <v>852</v>
      </c>
      <c r="I44" s="83">
        <v>1.75</v>
      </c>
      <c r="J44" s="71" t="s">
        <v>853</v>
      </c>
      <c r="K44" s="71">
        <v>3932</v>
      </c>
      <c r="L44" s="71" t="s">
        <v>1123</v>
      </c>
      <c r="M44" s="84">
        <v>0.5</v>
      </c>
    </row>
    <row r="45" spans="1:13" x14ac:dyDescent="0.25">
      <c r="A45" t="s">
        <v>1499</v>
      </c>
      <c r="B45" s="85" t="s">
        <v>891</v>
      </c>
      <c r="C45" s="82" t="str">
        <f t="shared" si="0"/>
        <v>L3933:  ENERGY STAR Directional LED replacing CFL 14W – 22W, Interior</v>
      </c>
      <c r="D45" t="s">
        <v>868</v>
      </c>
      <c r="E45" t="s">
        <v>888</v>
      </c>
      <c r="F45" t="s">
        <v>850</v>
      </c>
      <c r="G45" t="s">
        <v>892</v>
      </c>
      <c r="H45" t="s">
        <v>852</v>
      </c>
      <c r="I45" s="83">
        <v>1.5</v>
      </c>
      <c r="J45" s="71" t="s">
        <v>853</v>
      </c>
      <c r="K45" s="71">
        <v>3933</v>
      </c>
      <c r="L45" s="71" t="s">
        <v>1123</v>
      </c>
      <c r="M45" s="84">
        <v>0.5</v>
      </c>
    </row>
    <row r="46" spans="1:13" x14ac:dyDescent="0.25">
      <c r="A46" t="s">
        <v>1500</v>
      </c>
      <c r="B46" s="85" t="s">
        <v>894</v>
      </c>
      <c r="C46" s="82" t="str">
        <f t="shared" si="0"/>
        <v>L3934:  ENERGY STAR Directional LED replacing CFL ≤ 13W, Interior</v>
      </c>
      <c r="D46" t="s">
        <v>868</v>
      </c>
      <c r="E46" t="s">
        <v>888</v>
      </c>
      <c r="F46" t="s">
        <v>850</v>
      </c>
      <c r="G46" t="s">
        <v>895</v>
      </c>
      <c r="H46" t="s">
        <v>852</v>
      </c>
      <c r="I46" s="83">
        <v>1</v>
      </c>
      <c r="J46" s="71" t="s">
        <v>853</v>
      </c>
      <c r="K46" s="71">
        <v>3934</v>
      </c>
      <c r="L46" s="71" t="s">
        <v>1123</v>
      </c>
      <c r="M46" s="84">
        <v>0.5</v>
      </c>
    </row>
    <row r="47" spans="1:13" x14ac:dyDescent="0.25">
      <c r="A47" t="s">
        <v>1501</v>
      </c>
      <c r="B47" s="85" t="s">
        <v>1502</v>
      </c>
      <c r="C47" s="82" t="str">
        <f t="shared" si="0"/>
        <v>L3962:  DLC listed, Mogul Screw-Base (E39) LED lamp replacing HID</v>
      </c>
      <c r="I47" s="83">
        <v>0.1</v>
      </c>
      <c r="J47" s="70" t="s">
        <v>898</v>
      </c>
      <c r="K47" s="71">
        <v>3962</v>
      </c>
      <c r="L47" s="71" t="s">
        <v>1111</v>
      </c>
      <c r="M47" s="84">
        <v>1</v>
      </c>
    </row>
    <row r="48" spans="1:13" x14ac:dyDescent="0.25">
      <c r="A48" t="s">
        <v>1503</v>
      </c>
      <c r="B48" s="85" t="s">
        <v>901</v>
      </c>
      <c r="C48" s="82" t="str">
        <f t="shared" ref="C48:C91" si="1">IF(ISBLANK(A48),"",A48&amp;":  ") &amp;B48</f>
        <v>L3511:  4' LED Lamp: Replace 4’ T8 or T12 Lamp, External Driver (UL Type C)</v>
      </c>
      <c r="D48" t="s">
        <v>902</v>
      </c>
      <c r="E48" t="s">
        <v>903</v>
      </c>
      <c r="F48" t="s">
        <v>904</v>
      </c>
      <c r="G48" t="s">
        <v>905</v>
      </c>
      <c r="H48" t="s">
        <v>906</v>
      </c>
      <c r="I48" s="83">
        <v>2</v>
      </c>
      <c r="J48" s="71" t="s">
        <v>853</v>
      </c>
      <c r="K48" s="71">
        <v>3511</v>
      </c>
      <c r="L48" s="71" t="s">
        <v>1111</v>
      </c>
      <c r="M48" s="84">
        <v>0.5</v>
      </c>
    </row>
    <row r="49" spans="1:13" x14ac:dyDescent="0.25">
      <c r="A49" t="s">
        <v>1504</v>
      </c>
      <c r="B49" s="85" t="s">
        <v>908</v>
      </c>
      <c r="C49" s="82" t="str">
        <f t="shared" si="1"/>
        <v>L3759:  4' LED Lamp: Replace 4’ T8 or T12 Lamp, Direct Wire (UL Type B)</v>
      </c>
      <c r="D49" t="s">
        <v>902</v>
      </c>
      <c r="E49" t="s">
        <v>903</v>
      </c>
      <c r="F49" t="s">
        <v>904</v>
      </c>
      <c r="G49" t="s">
        <v>905</v>
      </c>
      <c r="H49" t="s">
        <v>906</v>
      </c>
      <c r="I49" s="83">
        <v>2</v>
      </c>
      <c r="J49" s="71" t="s">
        <v>853</v>
      </c>
      <c r="K49" s="71">
        <v>3759</v>
      </c>
      <c r="L49" s="71" t="s">
        <v>1111</v>
      </c>
      <c r="M49" s="84">
        <v>0.5</v>
      </c>
    </row>
    <row r="50" spans="1:13" x14ac:dyDescent="0.25">
      <c r="A50" t="s">
        <v>1505</v>
      </c>
      <c r="B50" s="85" t="s">
        <v>910</v>
      </c>
      <c r="C50" s="82" t="str">
        <f t="shared" si="1"/>
        <v>L3512:  4' LED Lamp: Replace 4’ T8 Lamp, Utilizing Existing Ballast (UL Type A)</v>
      </c>
      <c r="D50" t="s">
        <v>902</v>
      </c>
      <c r="E50" t="s">
        <v>903</v>
      </c>
      <c r="F50" t="s">
        <v>904</v>
      </c>
      <c r="G50" t="s">
        <v>905</v>
      </c>
      <c r="H50" t="s">
        <v>906</v>
      </c>
      <c r="I50" s="83">
        <v>1.5</v>
      </c>
      <c r="J50" s="71" t="s">
        <v>853</v>
      </c>
      <c r="K50" s="71">
        <v>3512</v>
      </c>
      <c r="L50" s="71" t="s">
        <v>1111</v>
      </c>
      <c r="M50" s="84">
        <v>0.5</v>
      </c>
    </row>
    <row r="51" spans="1:13" x14ac:dyDescent="0.25">
      <c r="B51" s="81" t="s">
        <v>947</v>
      </c>
      <c r="C51" s="82" t="str">
        <f t="shared" si="1"/>
        <v>----------------------LIGHTING CATALOG: EXTERIOR FIXTURES AND LAMPS----------------------------</v>
      </c>
      <c r="D51" s="77"/>
      <c r="E51" s="77"/>
      <c r="F51" s="77"/>
      <c r="G51" s="77"/>
      <c r="H51" s="77"/>
      <c r="I51" s="83"/>
      <c r="J51" s="70"/>
      <c r="K51" s="70"/>
      <c r="L51" s="70"/>
      <c r="M51" s="84"/>
    </row>
    <row r="52" spans="1:13" x14ac:dyDescent="0.25">
      <c r="A52" t="s">
        <v>1506</v>
      </c>
      <c r="B52" s="85" t="s">
        <v>949</v>
      </c>
      <c r="C52" s="82" t="str">
        <f t="shared" si="1"/>
        <v>L4280:  Outdoor – Low Output ≤4,999 lumens</v>
      </c>
      <c r="D52" s="77"/>
      <c r="E52" s="77"/>
      <c r="F52" s="77"/>
      <c r="G52" s="77"/>
      <c r="H52" s="77"/>
      <c r="I52" s="83">
        <v>20</v>
      </c>
      <c r="J52" s="71" t="s">
        <v>744</v>
      </c>
      <c r="K52" s="71" t="s">
        <v>950</v>
      </c>
      <c r="L52" s="71" t="s">
        <v>1440</v>
      </c>
      <c r="M52" s="84">
        <v>1</v>
      </c>
    </row>
    <row r="53" spans="1:13" x14ac:dyDescent="0.25">
      <c r="A53" t="s">
        <v>1507</v>
      </c>
      <c r="B53" s="85" t="s">
        <v>952</v>
      </c>
      <c r="C53" s="82" t="str">
        <f t="shared" si="1"/>
        <v>L4281:  Outdoor – Mid Output 5,000 – 9,999 lumens</v>
      </c>
      <c r="D53" s="77"/>
      <c r="E53" s="77"/>
      <c r="F53" s="77"/>
      <c r="G53" s="77"/>
      <c r="H53" s="77"/>
      <c r="I53" s="83">
        <v>35</v>
      </c>
      <c r="J53" s="71" t="s">
        <v>744</v>
      </c>
      <c r="K53" s="71" t="s">
        <v>953</v>
      </c>
      <c r="L53" s="71" t="s">
        <v>1440</v>
      </c>
      <c r="M53" s="84">
        <v>1</v>
      </c>
    </row>
    <row r="54" spans="1:13" x14ac:dyDescent="0.25">
      <c r="A54" t="s">
        <v>1508</v>
      </c>
      <c r="B54" s="85" t="s">
        <v>955</v>
      </c>
      <c r="C54" s="82" t="str">
        <f t="shared" si="1"/>
        <v>L4282:  Outdoor – High Output 10,000 – 29,999 lumens</v>
      </c>
      <c r="D54" s="77"/>
      <c r="E54" s="77"/>
      <c r="F54" s="77"/>
      <c r="G54" s="77"/>
      <c r="H54" s="77"/>
      <c r="I54" s="83">
        <v>50</v>
      </c>
      <c r="J54" s="71" t="s">
        <v>744</v>
      </c>
      <c r="K54" s="71" t="s">
        <v>956</v>
      </c>
      <c r="L54" s="71" t="s">
        <v>1440</v>
      </c>
      <c r="M54" s="84">
        <v>1</v>
      </c>
    </row>
    <row r="55" spans="1:13" x14ac:dyDescent="0.25">
      <c r="A55" t="s">
        <v>1509</v>
      </c>
      <c r="B55" s="85" t="s">
        <v>958</v>
      </c>
      <c r="C55" s="82" t="str">
        <f t="shared" si="1"/>
        <v>L4283:  Outdoor – Very High Output ≥30,000 lumens</v>
      </c>
      <c r="D55" s="77"/>
      <c r="E55" s="77"/>
      <c r="F55" s="77"/>
      <c r="G55" s="77"/>
      <c r="H55" s="77"/>
      <c r="I55" s="83">
        <v>120</v>
      </c>
      <c r="J55" s="71" t="s">
        <v>744</v>
      </c>
      <c r="K55" s="71" t="s">
        <v>959</v>
      </c>
      <c r="L55" s="71" t="s">
        <v>1440</v>
      </c>
      <c r="M55" s="84">
        <v>1</v>
      </c>
    </row>
    <row r="56" spans="1:13" x14ac:dyDescent="0.25">
      <c r="A56" t="s">
        <v>1510</v>
      </c>
      <c r="B56" s="85" t="s">
        <v>1511</v>
      </c>
      <c r="C56" s="82" t="str">
        <f t="shared" si="1"/>
        <v>L4356:  LED Downlight Fixtures replacing or instead of Incandescent, CFL or HID fixture (See system wattage table on pg. 55 of Lighting Catalog for baseline inputs)</v>
      </c>
      <c r="D56" s="77"/>
      <c r="E56" s="77"/>
      <c r="F56" s="77"/>
      <c r="G56" s="77"/>
      <c r="H56" s="77"/>
      <c r="I56" s="83">
        <v>0.2</v>
      </c>
      <c r="J56" s="71" t="s">
        <v>824</v>
      </c>
      <c r="K56" s="71" t="s">
        <v>961</v>
      </c>
      <c r="L56" s="71" t="s">
        <v>1440</v>
      </c>
      <c r="M56" s="84">
        <v>1</v>
      </c>
    </row>
    <row r="57" spans="1:13" x14ac:dyDescent="0.25">
      <c r="A57" t="s">
        <v>1512</v>
      </c>
      <c r="B57" s="85" t="s">
        <v>963</v>
      </c>
      <c r="C57" s="82" t="str">
        <f>IF(ISBLANK(A57),"",A57&amp;":  ") &amp;B57</f>
        <v>L3904:  Exterior LED Signage</v>
      </c>
      <c r="D57" s="87" t="s">
        <v>964</v>
      </c>
      <c r="E57" t="s">
        <v>965</v>
      </c>
      <c r="F57" t="s">
        <v>966</v>
      </c>
      <c r="G57" t="s">
        <v>831</v>
      </c>
      <c r="H57" t="s">
        <v>832</v>
      </c>
      <c r="I57" s="83">
        <v>0.25</v>
      </c>
      <c r="J57" s="71" t="s">
        <v>824</v>
      </c>
      <c r="K57" s="71">
        <v>3904</v>
      </c>
      <c r="L57" s="71" t="s">
        <v>1111</v>
      </c>
      <c r="M57" s="84">
        <v>1</v>
      </c>
    </row>
    <row r="58" spans="1:13" x14ac:dyDescent="0.25">
      <c r="A58" t="s">
        <v>1513</v>
      </c>
      <c r="B58" s="85" t="s">
        <v>968</v>
      </c>
      <c r="C58" s="82" t="str">
        <f t="shared" ref="C58:C69" si="2">IF(ISBLANK(A58),"",A58&amp;":  ") &amp;B58</f>
        <v>L4316:  4' 2-lamp TLED &lt;24W replacing 8' 1-lamp T8 or T12, 24 Hour</v>
      </c>
      <c r="D58" s="87"/>
      <c r="I58" s="83">
        <v>10</v>
      </c>
      <c r="J58" s="71" t="s">
        <v>744</v>
      </c>
      <c r="K58" s="71" t="s">
        <v>969</v>
      </c>
      <c r="L58" s="71" t="s">
        <v>1457</v>
      </c>
      <c r="M58" s="84">
        <v>1</v>
      </c>
    </row>
    <row r="59" spans="1:13" x14ac:dyDescent="0.25">
      <c r="A59" t="s">
        <v>1514</v>
      </c>
      <c r="B59" s="85" t="s">
        <v>971</v>
      </c>
      <c r="C59" s="82" t="str">
        <f t="shared" si="2"/>
        <v>L4315:  4' 2-lamp TLED &lt;24W replacing 8' 1-lamp T8 or T12, 12 Hour</v>
      </c>
      <c r="D59" s="87"/>
      <c r="I59" s="83">
        <v>10</v>
      </c>
      <c r="J59" s="71" t="s">
        <v>744</v>
      </c>
      <c r="K59" s="71" t="s">
        <v>972</v>
      </c>
      <c r="L59" s="71" t="s">
        <v>1457</v>
      </c>
      <c r="M59" s="84">
        <v>1</v>
      </c>
    </row>
    <row r="60" spans="1:13" x14ac:dyDescent="0.25">
      <c r="A60" t="s">
        <v>1515</v>
      </c>
      <c r="B60" s="85" t="s">
        <v>974</v>
      </c>
      <c r="C60" s="82" t="str">
        <f t="shared" si="2"/>
        <v>L4319:  4' 2-lamp TLED &lt;24W replacing 8' 1-lamp T8HO or T12HO, 24 Hour</v>
      </c>
      <c r="D60" s="87"/>
      <c r="I60" s="83">
        <v>10</v>
      </c>
      <c r="J60" s="71" t="s">
        <v>744</v>
      </c>
      <c r="K60" s="71" t="s">
        <v>975</v>
      </c>
      <c r="L60" s="71" t="s">
        <v>1457</v>
      </c>
      <c r="M60" s="84">
        <v>1</v>
      </c>
    </row>
    <row r="61" spans="1:13" x14ac:dyDescent="0.25">
      <c r="A61" t="s">
        <v>1516</v>
      </c>
      <c r="B61" s="85" t="s">
        <v>977</v>
      </c>
      <c r="C61" s="82" t="str">
        <f t="shared" si="2"/>
        <v>L4318:  4' 2-lamp TLED &lt;24W replacing 8' 1-lamp T8HO or T12HO, 12 Hour</v>
      </c>
      <c r="D61" s="87"/>
      <c r="I61" s="83">
        <v>10</v>
      </c>
      <c r="J61" s="71" t="s">
        <v>744</v>
      </c>
      <c r="K61" s="71" t="s">
        <v>978</v>
      </c>
      <c r="L61" s="71" t="s">
        <v>1457</v>
      </c>
      <c r="M61" s="84">
        <v>1</v>
      </c>
    </row>
    <row r="62" spans="1:13" x14ac:dyDescent="0.25">
      <c r="A62" t="s">
        <v>1517</v>
      </c>
      <c r="B62" s="85" t="s">
        <v>980</v>
      </c>
      <c r="C62" s="82" t="str">
        <f t="shared" si="2"/>
        <v>L4322:  4’ 4-lamp TLED &lt;24W replacing 8' 2-lamp T8 or T12, 24 Hour</v>
      </c>
      <c r="D62" s="87"/>
      <c r="I62" s="83">
        <v>12.5</v>
      </c>
      <c r="J62" s="71" t="s">
        <v>744</v>
      </c>
      <c r="K62" s="71" t="s">
        <v>981</v>
      </c>
      <c r="L62" s="71" t="s">
        <v>1457</v>
      </c>
      <c r="M62" s="84">
        <v>1</v>
      </c>
    </row>
    <row r="63" spans="1:13" x14ac:dyDescent="0.25">
      <c r="A63" t="s">
        <v>1518</v>
      </c>
      <c r="B63" s="85" t="s">
        <v>983</v>
      </c>
      <c r="C63" s="82" t="str">
        <f t="shared" si="2"/>
        <v>L4321:  4’ 4-lamp TLED &lt;24W replacing 8' 2-lamp T8 or T12, 12 Hour</v>
      </c>
      <c r="D63" s="87"/>
      <c r="I63" s="83">
        <v>12.5</v>
      </c>
      <c r="J63" s="71" t="s">
        <v>744</v>
      </c>
      <c r="K63" s="71" t="s">
        <v>984</v>
      </c>
      <c r="L63" s="71" t="s">
        <v>1457</v>
      </c>
      <c r="M63" s="84">
        <v>1</v>
      </c>
    </row>
    <row r="64" spans="1:13" x14ac:dyDescent="0.25">
      <c r="A64" t="s">
        <v>1519</v>
      </c>
      <c r="B64" s="85" t="s">
        <v>986</v>
      </c>
      <c r="C64" s="82" t="str">
        <f t="shared" si="2"/>
        <v>L4325:  4' 4-lamp TLED &lt;24W replacing 8' 2-lamp T8HO or T12HO, 24 Hour</v>
      </c>
      <c r="D64" s="87"/>
      <c r="I64" s="83">
        <v>12.5</v>
      </c>
      <c r="J64" s="71" t="s">
        <v>744</v>
      </c>
      <c r="K64" s="71" t="s">
        <v>987</v>
      </c>
      <c r="L64" s="71" t="s">
        <v>1457</v>
      </c>
      <c r="M64" s="84">
        <v>1</v>
      </c>
    </row>
    <row r="65" spans="1:13" x14ac:dyDescent="0.25">
      <c r="A65" t="s">
        <v>1520</v>
      </c>
      <c r="B65" s="85" t="s">
        <v>989</v>
      </c>
      <c r="C65" s="82" t="str">
        <f t="shared" si="2"/>
        <v>L4324:  4' 4-lamp TLED &lt;24W replacing 8' 2-lamp T8HO or T12HO, 12 Hour</v>
      </c>
      <c r="D65" s="87"/>
      <c r="I65" s="83">
        <v>12.5</v>
      </c>
      <c r="J65" s="71" t="s">
        <v>744</v>
      </c>
      <c r="K65" s="71" t="s">
        <v>990</v>
      </c>
      <c r="L65" s="71" t="s">
        <v>1457</v>
      </c>
      <c r="M65" s="84">
        <v>1</v>
      </c>
    </row>
    <row r="66" spans="1:13" x14ac:dyDescent="0.25">
      <c r="A66" t="s">
        <v>1521</v>
      </c>
      <c r="B66" s="85" t="s">
        <v>992</v>
      </c>
      <c r="C66" s="82" t="str">
        <f t="shared" si="2"/>
        <v>L4328:  4' 2-lamp TLED &lt;24W replacing 8' 2-lamp T8 or T12, 24 Hour</v>
      </c>
      <c r="D66" s="87"/>
      <c r="I66" s="83">
        <v>22.5</v>
      </c>
      <c r="J66" s="71" t="s">
        <v>744</v>
      </c>
      <c r="K66" s="71" t="s">
        <v>993</v>
      </c>
      <c r="L66" s="71" t="s">
        <v>1457</v>
      </c>
      <c r="M66" s="84">
        <v>1</v>
      </c>
    </row>
    <row r="67" spans="1:13" x14ac:dyDescent="0.25">
      <c r="A67" t="s">
        <v>1522</v>
      </c>
      <c r="B67" s="85" t="s">
        <v>995</v>
      </c>
      <c r="C67" s="82" t="str">
        <f t="shared" si="2"/>
        <v>L4327:  4' 2-lamp TLED &lt;24W replacing 8' 2-lamp T8 or T12, 12 Hour</v>
      </c>
      <c r="D67" s="87"/>
      <c r="I67" s="83">
        <v>22.5</v>
      </c>
      <c r="J67" s="71" t="s">
        <v>744</v>
      </c>
      <c r="K67" s="71" t="s">
        <v>996</v>
      </c>
      <c r="L67" s="71" t="s">
        <v>1457</v>
      </c>
      <c r="M67" s="84">
        <v>1</v>
      </c>
    </row>
    <row r="68" spans="1:13" x14ac:dyDescent="0.25">
      <c r="A68" t="s">
        <v>1523</v>
      </c>
      <c r="B68" s="85" t="s">
        <v>998</v>
      </c>
      <c r="C68" s="82" t="str">
        <f t="shared" si="2"/>
        <v>L4331:  4' 2-lamp TLED &lt;24W replacing 8' 2-lamp T8HO or T12HO, 24 Hour</v>
      </c>
      <c r="D68" s="87"/>
      <c r="I68" s="83">
        <v>22.5</v>
      </c>
      <c r="J68" s="71" t="s">
        <v>744</v>
      </c>
      <c r="K68" s="71" t="s">
        <v>999</v>
      </c>
      <c r="L68" s="71" t="s">
        <v>1457</v>
      </c>
      <c r="M68" s="84">
        <v>1</v>
      </c>
    </row>
    <row r="69" spans="1:13" x14ac:dyDescent="0.25">
      <c r="A69" t="s">
        <v>1524</v>
      </c>
      <c r="B69" s="85" t="s">
        <v>1001</v>
      </c>
      <c r="C69" s="82" t="str">
        <f t="shared" si="2"/>
        <v>L4330:  4' 2-lamp TLED &lt;24W replacing 8' 2-lamp T8HO or T12HO, 12 Hour</v>
      </c>
      <c r="D69" s="87"/>
      <c r="I69" s="83">
        <v>22.5</v>
      </c>
      <c r="J69" s="71" t="s">
        <v>744</v>
      </c>
      <c r="K69" s="71" t="s">
        <v>1002</v>
      </c>
      <c r="L69" s="71" t="s">
        <v>1457</v>
      </c>
      <c r="M69" s="84">
        <v>1</v>
      </c>
    </row>
    <row r="70" spans="1:13" x14ac:dyDescent="0.25">
      <c r="A70" t="s">
        <v>1525</v>
      </c>
      <c r="B70" s="85" t="s">
        <v>1502</v>
      </c>
      <c r="C70" s="82" t="str">
        <f t="shared" si="1"/>
        <v>L3963:  DLC listed, Mogul Screw-Base (E39) LED lamp replacing HID</v>
      </c>
      <c r="D70" s="87" t="s">
        <v>1526</v>
      </c>
      <c r="E70" s="87" t="s">
        <v>1527</v>
      </c>
      <c r="F70" s="87" t="s">
        <v>1528</v>
      </c>
      <c r="G70" s="87" t="s">
        <v>1529</v>
      </c>
      <c r="I70" s="83">
        <v>0.15</v>
      </c>
      <c r="J70" s="71" t="s">
        <v>898</v>
      </c>
      <c r="K70" s="71">
        <v>3963</v>
      </c>
      <c r="L70" s="71" t="s">
        <v>1111</v>
      </c>
      <c r="M70" s="84">
        <v>1</v>
      </c>
    </row>
    <row r="71" spans="1:13" x14ac:dyDescent="0.25">
      <c r="A71" t="s">
        <v>1530</v>
      </c>
      <c r="B71" s="85" t="s">
        <v>1531</v>
      </c>
      <c r="C71" s="82" t="str">
        <f t="shared" si="1"/>
        <v>L3947:  ENERGY STAR Omnidirectional/Decorative LED Lamp, 1,600-1,999 lumens, Exterior</v>
      </c>
      <c r="D71" s="87" t="s">
        <v>1532</v>
      </c>
      <c r="E71" t="s">
        <v>1533</v>
      </c>
      <c r="F71" t="s">
        <v>850</v>
      </c>
      <c r="G71" t="s">
        <v>851</v>
      </c>
      <c r="H71" t="s">
        <v>852</v>
      </c>
      <c r="I71" s="83">
        <v>3</v>
      </c>
      <c r="J71" s="71" t="s">
        <v>853</v>
      </c>
      <c r="K71" s="71">
        <v>3947</v>
      </c>
      <c r="L71" s="71" t="s">
        <v>1111</v>
      </c>
      <c r="M71" s="84">
        <v>0.5</v>
      </c>
    </row>
    <row r="72" spans="1:13" x14ac:dyDescent="0.25">
      <c r="A72" t="s">
        <v>1534</v>
      </c>
      <c r="B72" s="85" t="s">
        <v>1535</v>
      </c>
      <c r="C72" s="82" t="str">
        <f t="shared" si="1"/>
        <v>L3948:  ENERGY STAR Omnidirectional/Decorative LED Lamp, 1,100-1,599 lumens, Exterior</v>
      </c>
      <c r="D72" s="87" t="s">
        <v>1532</v>
      </c>
      <c r="E72" t="s">
        <v>1533</v>
      </c>
      <c r="F72" t="s">
        <v>850</v>
      </c>
      <c r="G72" t="s">
        <v>856</v>
      </c>
      <c r="H72" t="s">
        <v>852</v>
      </c>
      <c r="I72" s="83">
        <v>2</v>
      </c>
      <c r="J72" s="71" t="s">
        <v>853</v>
      </c>
      <c r="K72" s="71">
        <v>3948</v>
      </c>
      <c r="L72" s="71" t="s">
        <v>1111</v>
      </c>
      <c r="M72" s="84">
        <v>0.5</v>
      </c>
    </row>
    <row r="73" spans="1:13" x14ac:dyDescent="0.25">
      <c r="A73" t="s">
        <v>1536</v>
      </c>
      <c r="B73" s="85" t="s">
        <v>1537</v>
      </c>
      <c r="C73" s="82" t="str">
        <f t="shared" si="1"/>
        <v>L3949:  ENERGY STAR Omnidirectional/Decorative LED Lamp, 800-1,099 lumens, Exterior</v>
      </c>
      <c r="D73" s="87" t="s">
        <v>1532</v>
      </c>
      <c r="E73" t="s">
        <v>1533</v>
      </c>
      <c r="F73" t="s">
        <v>850</v>
      </c>
      <c r="G73" t="s">
        <v>859</v>
      </c>
      <c r="H73" t="s">
        <v>852</v>
      </c>
      <c r="I73" s="83">
        <v>1.5</v>
      </c>
      <c r="J73" s="71" t="s">
        <v>853</v>
      </c>
      <c r="K73" s="71">
        <v>3949</v>
      </c>
      <c r="L73" s="71" t="s">
        <v>1111</v>
      </c>
      <c r="M73" s="84">
        <v>0.5</v>
      </c>
    </row>
    <row r="74" spans="1:13" x14ac:dyDescent="0.25">
      <c r="A74" t="s">
        <v>1538</v>
      </c>
      <c r="B74" s="85" t="s">
        <v>1539</v>
      </c>
      <c r="C74" s="82" t="str">
        <f t="shared" si="1"/>
        <v>L3950:  ENERGY STAR Omnidirectional/Decorative LED Lamp, 450-799 lumens, Exterior</v>
      </c>
      <c r="D74" s="87" t="s">
        <v>1532</v>
      </c>
      <c r="E74" t="s">
        <v>1533</v>
      </c>
      <c r="F74" t="s">
        <v>850</v>
      </c>
      <c r="G74" t="s">
        <v>862</v>
      </c>
      <c r="H74" t="s">
        <v>852</v>
      </c>
      <c r="I74" s="83">
        <v>1</v>
      </c>
      <c r="J74" s="71" t="s">
        <v>853</v>
      </c>
      <c r="K74" s="71">
        <v>3950</v>
      </c>
      <c r="L74" s="71" t="s">
        <v>1111</v>
      </c>
      <c r="M74" s="84">
        <v>0.5</v>
      </c>
    </row>
    <row r="75" spans="1:13" x14ac:dyDescent="0.25">
      <c r="A75" t="s">
        <v>1540</v>
      </c>
      <c r="B75" s="85" t="s">
        <v>1541</v>
      </c>
      <c r="C75" s="82" t="str">
        <f t="shared" si="1"/>
        <v>L3951:  ENERGY STAR Omnidirectional/Decorative LED Lamp, 250-449 lumens, Exterior</v>
      </c>
      <c r="D75" s="87" t="s">
        <v>1532</v>
      </c>
      <c r="E75" t="s">
        <v>1533</v>
      </c>
      <c r="F75" t="s">
        <v>850</v>
      </c>
      <c r="G75" t="s">
        <v>865</v>
      </c>
      <c r="H75" t="s">
        <v>852</v>
      </c>
      <c r="I75" s="83">
        <v>1</v>
      </c>
      <c r="J75" s="71" t="s">
        <v>853</v>
      </c>
      <c r="K75" s="71">
        <v>3951</v>
      </c>
      <c r="L75" s="71" t="s">
        <v>1111</v>
      </c>
      <c r="M75" s="84">
        <v>0.5</v>
      </c>
    </row>
    <row r="76" spans="1:13" x14ac:dyDescent="0.25">
      <c r="A76" t="s">
        <v>1542</v>
      </c>
      <c r="B76" s="85" t="s">
        <v>1543</v>
      </c>
      <c r="C76" s="82" t="str">
        <f t="shared" si="1"/>
        <v>L3935:  ENERGY STAR Directional LED replacing incandescent 120W – 250W, Exterior</v>
      </c>
      <c r="D76" s="87" t="s">
        <v>1544</v>
      </c>
      <c r="E76" t="s">
        <v>1545</v>
      </c>
      <c r="F76" t="s">
        <v>850</v>
      </c>
      <c r="G76" t="s">
        <v>870</v>
      </c>
      <c r="H76" t="s">
        <v>852</v>
      </c>
      <c r="I76" s="83">
        <v>5</v>
      </c>
      <c r="J76" s="71" t="s">
        <v>853</v>
      </c>
      <c r="K76">
        <v>3935</v>
      </c>
      <c r="L76" s="71" t="s">
        <v>1111</v>
      </c>
      <c r="M76" s="84">
        <v>0.5</v>
      </c>
    </row>
    <row r="77" spans="1:13" x14ac:dyDescent="0.25">
      <c r="A77" t="s">
        <v>1546</v>
      </c>
      <c r="B77" s="85" t="s">
        <v>1547</v>
      </c>
      <c r="C77" s="82" t="str">
        <f t="shared" si="1"/>
        <v>L3936:  ENERGY STAR Directional LED replacing incandescent 100W – 119W, Exterior</v>
      </c>
      <c r="D77" s="87" t="s">
        <v>1544</v>
      </c>
      <c r="E77" t="s">
        <v>1545</v>
      </c>
      <c r="F77" t="s">
        <v>850</v>
      </c>
      <c r="G77" t="s">
        <v>873</v>
      </c>
      <c r="H77" t="s">
        <v>852</v>
      </c>
      <c r="I77" s="83">
        <v>4</v>
      </c>
      <c r="J77" s="71" t="s">
        <v>853</v>
      </c>
      <c r="K77">
        <v>3936</v>
      </c>
      <c r="L77" s="71" t="s">
        <v>1111</v>
      </c>
      <c r="M77" s="84">
        <v>0.5</v>
      </c>
    </row>
    <row r="78" spans="1:13" x14ac:dyDescent="0.25">
      <c r="A78" t="s">
        <v>1548</v>
      </c>
      <c r="B78" s="85" t="s">
        <v>1549</v>
      </c>
      <c r="C78" s="82" t="str">
        <f t="shared" si="1"/>
        <v>L3937:  ENERGY STAR Directional LED replacing incandescent 75W – 99W, Exterior</v>
      </c>
      <c r="D78" s="87" t="s">
        <v>1544</v>
      </c>
      <c r="E78" t="s">
        <v>1545</v>
      </c>
      <c r="F78" t="s">
        <v>850</v>
      </c>
      <c r="G78" t="s">
        <v>876</v>
      </c>
      <c r="H78" t="s">
        <v>852</v>
      </c>
      <c r="I78" s="83">
        <v>3</v>
      </c>
      <c r="J78" s="71" t="s">
        <v>853</v>
      </c>
      <c r="K78">
        <v>3937</v>
      </c>
      <c r="L78" s="71" t="s">
        <v>1111</v>
      </c>
      <c r="M78" s="84">
        <v>0.5</v>
      </c>
    </row>
    <row r="79" spans="1:13" x14ac:dyDescent="0.25">
      <c r="A79" t="s">
        <v>1550</v>
      </c>
      <c r="B79" s="85" t="s">
        <v>1551</v>
      </c>
      <c r="C79" s="82" t="str">
        <f t="shared" si="1"/>
        <v>L3938:  ENERGY STAR Directional LED replacing incandescent 55W – 74W, Exterior</v>
      </c>
      <c r="D79" s="87" t="s">
        <v>1544</v>
      </c>
      <c r="E79" t="s">
        <v>1545</v>
      </c>
      <c r="F79" t="s">
        <v>850</v>
      </c>
      <c r="G79" t="s">
        <v>879</v>
      </c>
      <c r="H79" t="s">
        <v>852</v>
      </c>
      <c r="I79" s="83">
        <v>2</v>
      </c>
      <c r="J79" s="71" t="s">
        <v>853</v>
      </c>
      <c r="K79">
        <v>3938</v>
      </c>
      <c r="L79" s="71" t="s">
        <v>1111</v>
      </c>
      <c r="M79" s="84">
        <v>0.5</v>
      </c>
    </row>
    <row r="80" spans="1:13" x14ac:dyDescent="0.25">
      <c r="A80" t="s">
        <v>1552</v>
      </c>
      <c r="B80" s="85" t="s">
        <v>1553</v>
      </c>
      <c r="C80" s="82" t="str">
        <f t="shared" si="1"/>
        <v>L3939:  ENERGY STAR Directional LED replacing incandescent 36W – 54W, Exterior</v>
      </c>
      <c r="D80" s="87" t="s">
        <v>1544</v>
      </c>
      <c r="E80" t="s">
        <v>1545</v>
      </c>
      <c r="F80" t="s">
        <v>850</v>
      </c>
      <c r="G80" t="s">
        <v>882</v>
      </c>
      <c r="H80" t="s">
        <v>852</v>
      </c>
      <c r="I80" s="83">
        <v>1.5</v>
      </c>
      <c r="J80" s="71" t="s">
        <v>853</v>
      </c>
      <c r="K80">
        <v>3939</v>
      </c>
      <c r="L80" s="71" t="s">
        <v>1111</v>
      </c>
      <c r="M80" s="84">
        <v>0.5</v>
      </c>
    </row>
    <row r="81" spans="1:13" x14ac:dyDescent="0.25">
      <c r="A81" t="s">
        <v>1554</v>
      </c>
      <c r="B81" s="85" t="s">
        <v>1555</v>
      </c>
      <c r="C81" s="82" t="str">
        <f t="shared" si="1"/>
        <v>L3940:  ENERGY STAR Directional LED replacing incandescent ≤ 35W, Exterior</v>
      </c>
      <c r="D81" s="87" t="s">
        <v>1544</v>
      </c>
      <c r="E81" t="s">
        <v>1545</v>
      </c>
      <c r="F81" t="s">
        <v>850</v>
      </c>
      <c r="G81" t="s">
        <v>885</v>
      </c>
      <c r="H81" t="s">
        <v>852</v>
      </c>
      <c r="I81" s="83">
        <v>1</v>
      </c>
      <c r="J81" s="71" t="s">
        <v>853</v>
      </c>
      <c r="K81">
        <v>3940</v>
      </c>
      <c r="L81" s="71" t="s">
        <v>1111</v>
      </c>
      <c r="M81" s="84">
        <v>0.5</v>
      </c>
    </row>
    <row r="82" spans="1:13" x14ac:dyDescent="0.25">
      <c r="A82" t="s">
        <v>1556</v>
      </c>
      <c r="B82" s="85" t="s">
        <v>1557</v>
      </c>
      <c r="C82" s="82" t="str">
        <f t="shared" si="1"/>
        <v>L3929:  ENERGY STAR Directional LED replacing CFL ≥ 23W, Exterior</v>
      </c>
      <c r="D82" s="87" t="s">
        <v>1544</v>
      </c>
      <c r="E82" t="s">
        <v>1558</v>
      </c>
      <c r="F82" t="s">
        <v>850</v>
      </c>
      <c r="G82" t="s">
        <v>889</v>
      </c>
      <c r="H82" t="s">
        <v>852</v>
      </c>
      <c r="I82" s="83">
        <v>1.75</v>
      </c>
      <c r="J82" s="71" t="s">
        <v>853</v>
      </c>
      <c r="K82" s="71">
        <v>3929</v>
      </c>
      <c r="L82" s="71" t="s">
        <v>1123</v>
      </c>
      <c r="M82" s="84">
        <v>0.5</v>
      </c>
    </row>
    <row r="83" spans="1:13" x14ac:dyDescent="0.25">
      <c r="A83" t="s">
        <v>1559</v>
      </c>
      <c r="B83" s="85" t="s">
        <v>1560</v>
      </c>
      <c r="C83" s="82" t="str">
        <f t="shared" si="1"/>
        <v>L3930:  ENERGY STAR Directional LED replacing CFL 14W – 22W, Exterior</v>
      </c>
      <c r="D83" s="87" t="s">
        <v>1544</v>
      </c>
      <c r="E83" t="s">
        <v>1558</v>
      </c>
      <c r="F83" t="s">
        <v>850</v>
      </c>
      <c r="G83" t="s">
        <v>892</v>
      </c>
      <c r="H83" t="s">
        <v>852</v>
      </c>
      <c r="I83" s="83">
        <v>1.5</v>
      </c>
      <c r="J83" s="71" t="s">
        <v>853</v>
      </c>
      <c r="K83" s="71">
        <v>3930</v>
      </c>
      <c r="L83" s="71" t="s">
        <v>1123</v>
      </c>
      <c r="M83" s="84">
        <v>0.5</v>
      </c>
    </row>
    <row r="84" spans="1:13" x14ac:dyDescent="0.25">
      <c r="A84" t="s">
        <v>1561</v>
      </c>
      <c r="B84" s="85" t="s">
        <v>1562</v>
      </c>
      <c r="C84" s="82" t="str">
        <f t="shared" si="1"/>
        <v>L3931:  ENERGY STAR Directional LED replacing CFL ≤ 13W, Exterior</v>
      </c>
      <c r="D84" s="87" t="s">
        <v>1544</v>
      </c>
      <c r="E84" t="s">
        <v>1558</v>
      </c>
      <c r="F84" t="s">
        <v>850</v>
      </c>
      <c r="G84" t="s">
        <v>895</v>
      </c>
      <c r="H84" t="s">
        <v>852</v>
      </c>
      <c r="I84" s="83">
        <v>1</v>
      </c>
      <c r="J84" s="71" t="s">
        <v>853</v>
      </c>
      <c r="K84" s="71">
        <v>3931</v>
      </c>
      <c r="L84" s="71" t="s">
        <v>1123</v>
      </c>
      <c r="M84" s="84">
        <v>0.5</v>
      </c>
    </row>
    <row r="85" spans="1:13" x14ac:dyDescent="0.25">
      <c r="A85" t="s">
        <v>1563</v>
      </c>
      <c r="B85" s="85" t="s">
        <v>1051</v>
      </c>
      <c r="C85" s="82" t="str">
        <f t="shared" si="1"/>
        <v>L4353:  24 Hour, LED Replacement of 4' T8 or T12 Lamp w/External Driver (UL Type C)</v>
      </c>
      <c r="D85" s="87"/>
      <c r="I85" s="83">
        <v>2</v>
      </c>
      <c r="J85" s="71" t="s">
        <v>853</v>
      </c>
      <c r="K85" s="71" t="s">
        <v>1052</v>
      </c>
      <c r="L85" s="71" t="s">
        <v>1457</v>
      </c>
      <c r="M85" s="84">
        <v>0.5</v>
      </c>
    </row>
    <row r="86" spans="1:13" x14ac:dyDescent="0.25">
      <c r="A86" t="s">
        <v>1564</v>
      </c>
      <c r="B86" s="85" t="s">
        <v>1054</v>
      </c>
      <c r="C86" s="82" t="str">
        <f t="shared" si="1"/>
        <v>L4351:  24 Hour, LED Replacement of 4' T8 or T12 Lamp, Direct Wire (UL Type B)</v>
      </c>
      <c r="D86" s="87"/>
      <c r="I86" s="83">
        <v>2</v>
      </c>
      <c r="J86" s="71" t="s">
        <v>853</v>
      </c>
      <c r="K86" s="71" t="s">
        <v>1055</v>
      </c>
      <c r="L86" s="71" t="s">
        <v>1457</v>
      </c>
      <c r="M86" s="84">
        <v>0.5</v>
      </c>
    </row>
    <row r="87" spans="1:13" x14ac:dyDescent="0.25">
      <c r="A87" t="s">
        <v>1565</v>
      </c>
      <c r="B87" s="85" t="s">
        <v>1057</v>
      </c>
      <c r="C87" s="82" t="str">
        <f t="shared" si="1"/>
        <v>L4349:  24 Hour, LED Replacement of 4' T8 Lamp Utilizing Existing Ballast (UL Type A)</v>
      </c>
      <c r="D87" s="87"/>
      <c r="I87" s="83">
        <v>1.5</v>
      </c>
      <c r="J87" s="71" t="s">
        <v>853</v>
      </c>
      <c r="K87" s="71" t="s">
        <v>1058</v>
      </c>
      <c r="L87" s="71" t="s">
        <v>1457</v>
      </c>
      <c r="M87" s="84">
        <v>0.5</v>
      </c>
    </row>
    <row r="88" spans="1:13" x14ac:dyDescent="0.25">
      <c r="A88" t="s">
        <v>1566</v>
      </c>
      <c r="B88" s="85" t="s">
        <v>1060</v>
      </c>
      <c r="C88" s="82" t="str">
        <f t="shared" si="1"/>
        <v>L4352:  Dusk to Dawn, Hour, LED Replacement of 4' T8 or T12 Lamp w/External Driver (UL Type C)</v>
      </c>
      <c r="D88" s="87"/>
      <c r="I88" s="83">
        <v>2</v>
      </c>
      <c r="J88" s="71" t="s">
        <v>853</v>
      </c>
      <c r="K88" s="71" t="s">
        <v>1061</v>
      </c>
      <c r="L88" s="71" t="s">
        <v>1457</v>
      </c>
      <c r="M88" s="84">
        <v>0.5</v>
      </c>
    </row>
    <row r="89" spans="1:13" x14ac:dyDescent="0.25">
      <c r="A89" t="s">
        <v>1567</v>
      </c>
      <c r="B89" s="85" t="s">
        <v>1063</v>
      </c>
      <c r="C89" s="82" t="str">
        <f t="shared" si="1"/>
        <v>L4350:  Dusk to Dawn, LED Replacement of 4' T8 or T12 Lamp, Direct Wire (UL Type B)</v>
      </c>
      <c r="D89" s="87"/>
      <c r="I89" s="83">
        <v>2</v>
      </c>
      <c r="J89" s="71" t="s">
        <v>853</v>
      </c>
      <c r="K89" s="71" t="s">
        <v>1064</v>
      </c>
      <c r="L89" s="71" t="s">
        <v>1457</v>
      </c>
      <c r="M89" s="84">
        <v>0.5</v>
      </c>
    </row>
    <row r="90" spans="1:13" x14ac:dyDescent="0.25">
      <c r="A90" t="s">
        <v>1568</v>
      </c>
      <c r="B90" s="85" t="s">
        <v>1066</v>
      </c>
      <c r="C90" s="82" t="str">
        <f t="shared" si="1"/>
        <v>L4348:  Dusk to Dawn, LED Replacement of 4' T8 Lamp Utilizing Existing Ballast (UL Type A)</v>
      </c>
      <c r="D90" s="87"/>
      <c r="I90" s="83">
        <v>1.5</v>
      </c>
      <c r="J90" s="71" t="s">
        <v>853</v>
      </c>
      <c r="K90" s="71" t="s">
        <v>1067</v>
      </c>
      <c r="L90" s="71" t="s">
        <v>1457</v>
      </c>
      <c r="M90" s="84">
        <v>0.5</v>
      </c>
    </row>
    <row r="91" spans="1:13" x14ac:dyDescent="0.25">
      <c r="B91" s="81" t="s">
        <v>1068</v>
      </c>
      <c r="C91" s="82" t="str">
        <f t="shared" si="1"/>
        <v>----------------------LIGHTING CATALOG: CONTROLS----------------------------</v>
      </c>
      <c r="D91" s="77"/>
      <c r="E91" s="77"/>
      <c r="F91" s="77"/>
      <c r="G91" s="77"/>
      <c r="H91" s="77"/>
      <c r="I91" s="83"/>
      <c r="M91" s="84"/>
    </row>
    <row r="92" spans="1:13" x14ac:dyDescent="0.25">
      <c r="A92" t="s">
        <v>1569</v>
      </c>
      <c r="B92" s="85" t="s">
        <v>1070</v>
      </c>
      <c r="C92" s="82" t="str">
        <f t="shared" ref="C92:C104" si="3">IF(ISBLANK(A92),"",A92&amp;":  ") &amp;B92</f>
        <v>L3251:  Exterior and Parking Garage Bi-Level Controls, Dusk to Dawn</v>
      </c>
      <c r="D92" t="s">
        <v>1071</v>
      </c>
      <c r="E92" t="s">
        <v>1072</v>
      </c>
      <c r="F92" t="s">
        <v>1073</v>
      </c>
      <c r="I92" s="83">
        <v>10</v>
      </c>
      <c r="J92" s="71" t="s">
        <v>1570</v>
      </c>
      <c r="K92" s="71">
        <v>3251</v>
      </c>
      <c r="L92" s="71" t="s">
        <v>1123</v>
      </c>
      <c r="M92" s="84">
        <v>1</v>
      </c>
    </row>
    <row r="93" spans="1:13" x14ac:dyDescent="0.25">
      <c r="A93" t="s">
        <v>1571</v>
      </c>
      <c r="B93" s="85" t="s">
        <v>1076</v>
      </c>
      <c r="C93" s="82" t="str">
        <f t="shared" si="3"/>
        <v>L3252:  Parking Garage Bi-Level Controls, 24 Hour</v>
      </c>
      <c r="D93" t="s">
        <v>1071</v>
      </c>
      <c r="E93" t="s">
        <v>1072</v>
      </c>
      <c r="F93" t="s">
        <v>1073</v>
      </c>
      <c r="I93" s="83">
        <v>10</v>
      </c>
      <c r="J93" s="71" t="s">
        <v>1570</v>
      </c>
      <c r="K93" s="71">
        <v>3252</v>
      </c>
      <c r="L93" s="71" t="s">
        <v>1123</v>
      </c>
      <c r="M93" s="84">
        <v>1</v>
      </c>
    </row>
    <row r="94" spans="1:13" x14ac:dyDescent="0.25">
      <c r="A94" t="s">
        <v>1572</v>
      </c>
      <c r="B94" s="85" t="s">
        <v>1078</v>
      </c>
      <c r="C94" s="82" t="str">
        <f t="shared" si="3"/>
        <v>L3253:  Photocell with Internal Timer or Wireless Schedule</v>
      </c>
      <c r="D94" t="s">
        <v>1079</v>
      </c>
      <c r="E94" t="s">
        <v>1080</v>
      </c>
      <c r="F94" t="s">
        <v>1081</v>
      </c>
      <c r="G94" t="s">
        <v>1082</v>
      </c>
      <c r="H94" t="s">
        <v>1083</v>
      </c>
      <c r="I94" s="83">
        <v>10</v>
      </c>
      <c r="J94" s="71" t="s">
        <v>1570</v>
      </c>
      <c r="K94" s="71">
        <v>3253</v>
      </c>
      <c r="L94" s="71" t="s">
        <v>1123</v>
      </c>
      <c r="M94" s="84">
        <v>1</v>
      </c>
    </row>
    <row r="95" spans="1:13" x14ac:dyDescent="0.25">
      <c r="A95" t="s">
        <v>1573</v>
      </c>
      <c r="B95" s="86" t="s">
        <v>1085</v>
      </c>
      <c r="C95" s="82" t="str">
        <f t="shared" si="3"/>
        <v>L3406:  Daylighting Controls</v>
      </c>
      <c r="D95" t="s">
        <v>1086</v>
      </c>
      <c r="E95" t="s">
        <v>1087</v>
      </c>
      <c r="F95" t="s">
        <v>1088</v>
      </c>
      <c r="G95" t="s">
        <v>1089</v>
      </c>
      <c r="H95" t="s">
        <v>1090</v>
      </c>
      <c r="I95" s="83">
        <v>0.05</v>
      </c>
      <c r="J95" s="71" t="s">
        <v>1574</v>
      </c>
      <c r="K95" s="71">
        <v>3406</v>
      </c>
      <c r="L95" s="71" t="s">
        <v>1111</v>
      </c>
      <c r="M95" s="84">
        <v>1</v>
      </c>
    </row>
    <row r="96" spans="1:13" x14ac:dyDescent="0.25">
      <c r="A96" t="s">
        <v>1575</v>
      </c>
      <c r="B96" s="85" t="s">
        <v>1093</v>
      </c>
      <c r="C96" s="82" t="str">
        <f t="shared" si="3"/>
        <v>L3978:  High Bay On/Off Occupancy Sensor Control</v>
      </c>
      <c r="D96" t="s">
        <v>1094</v>
      </c>
      <c r="E96" t="s">
        <v>1095</v>
      </c>
      <c r="F96" t="s">
        <v>1096</v>
      </c>
      <c r="G96" t="s">
        <v>1097</v>
      </c>
      <c r="H96" t="s">
        <v>1098</v>
      </c>
      <c r="I96" s="83">
        <v>10</v>
      </c>
      <c r="J96" s="71" t="s">
        <v>1570</v>
      </c>
      <c r="K96" s="71">
        <v>3978</v>
      </c>
      <c r="L96" s="71" t="s">
        <v>1111</v>
      </c>
      <c r="M96" s="84">
        <v>1</v>
      </c>
    </row>
    <row r="97" spans="1:13" x14ac:dyDescent="0.25">
      <c r="A97" t="s">
        <v>1576</v>
      </c>
      <c r="B97" s="85" t="s">
        <v>1100</v>
      </c>
      <c r="C97" s="82" t="str">
        <f t="shared" si="3"/>
        <v>L3979:  High Bay Bi-Level Occupancy Control</v>
      </c>
      <c r="D97" t="s">
        <v>1094</v>
      </c>
      <c r="E97" t="s">
        <v>1095</v>
      </c>
      <c r="F97" t="s">
        <v>1096</v>
      </c>
      <c r="G97" t="s">
        <v>1097</v>
      </c>
      <c r="H97" t="s">
        <v>1101</v>
      </c>
      <c r="I97" s="83">
        <v>10</v>
      </c>
      <c r="J97" s="71" t="s">
        <v>1570</v>
      </c>
      <c r="K97" s="71">
        <v>3979</v>
      </c>
      <c r="L97" s="71" t="s">
        <v>1111</v>
      </c>
      <c r="M97" s="84">
        <v>1</v>
      </c>
    </row>
    <row r="98" spans="1:13" x14ac:dyDescent="0.25">
      <c r="A98" t="s">
        <v>1577</v>
      </c>
      <c r="B98" s="85" t="s">
        <v>1578</v>
      </c>
      <c r="C98" s="82" t="str">
        <f t="shared" si="3"/>
        <v>L2471:  Ceiling Mounted Occ Sensor, controlling 500W or less each</v>
      </c>
      <c r="D98" t="s">
        <v>1579</v>
      </c>
      <c r="E98" t="s">
        <v>1580</v>
      </c>
      <c r="F98" t="s">
        <v>1581</v>
      </c>
      <c r="G98" t="s">
        <v>1097</v>
      </c>
      <c r="I98" s="83">
        <v>10</v>
      </c>
      <c r="J98" s="71" t="s">
        <v>1582</v>
      </c>
      <c r="K98" s="71">
        <v>2471</v>
      </c>
      <c r="L98" s="71" t="s">
        <v>1111</v>
      </c>
      <c r="M98" s="84">
        <v>1</v>
      </c>
    </row>
    <row r="99" spans="1:13" x14ac:dyDescent="0.25">
      <c r="A99" t="s">
        <v>1583</v>
      </c>
      <c r="B99" s="85" t="s">
        <v>1584</v>
      </c>
      <c r="C99" s="82" t="str">
        <f t="shared" si="3"/>
        <v>L2473:  Ceiling Mounted Occ Sensor, controlling 501-1000W each</v>
      </c>
      <c r="D99" t="s">
        <v>1579</v>
      </c>
      <c r="E99" t="s">
        <v>1580</v>
      </c>
      <c r="F99" t="s">
        <v>1581</v>
      </c>
      <c r="G99" t="s">
        <v>1097</v>
      </c>
      <c r="I99" s="83">
        <v>10</v>
      </c>
      <c r="J99" s="71" t="s">
        <v>1582</v>
      </c>
      <c r="K99" s="71">
        <v>2473</v>
      </c>
      <c r="L99" s="71" t="s">
        <v>1111</v>
      </c>
      <c r="M99" s="84">
        <v>1</v>
      </c>
    </row>
    <row r="100" spans="1:13" x14ac:dyDescent="0.25">
      <c r="A100" t="s">
        <v>1585</v>
      </c>
      <c r="B100" s="85" t="s">
        <v>1586</v>
      </c>
      <c r="C100" s="82" t="str">
        <f t="shared" si="3"/>
        <v>L2472:  Ceiling Mounted Occ Sensor, controlling over 1000W each</v>
      </c>
      <c r="D100" t="s">
        <v>1579</v>
      </c>
      <c r="E100" t="s">
        <v>1580</v>
      </c>
      <c r="F100" t="s">
        <v>1581</v>
      </c>
      <c r="G100" t="s">
        <v>1097</v>
      </c>
      <c r="I100" s="83">
        <v>10</v>
      </c>
      <c r="J100" s="71" t="s">
        <v>1582</v>
      </c>
      <c r="K100" s="71">
        <v>2472</v>
      </c>
      <c r="L100" s="71" t="s">
        <v>1111</v>
      </c>
      <c r="M100" s="84">
        <v>1</v>
      </c>
    </row>
    <row r="101" spans="1:13" x14ac:dyDescent="0.25">
      <c r="A101" t="s">
        <v>1587</v>
      </c>
      <c r="B101" s="85" t="s">
        <v>1588</v>
      </c>
      <c r="C101" s="82" t="str">
        <f t="shared" si="3"/>
        <v>L2483:  Wall Switch-Mounted Occ Sensor, controlling 200W or less each</v>
      </c>
      <c r="D101" t="s">
        <v>1579</v>
      </c>
      <c r="E101" t="s">
        <v>1580</v>
      </c>
      <c r="F101" t="s">
        <v>1581</v>
      </c>
      <c r="G101" t="s">
        <v>1097</v>
      </c>
      <c r="I101" s="83">
        <v>7.5</v>
      </c>
      <c r="J101" s="71" t="s">
        <v>1582</v>
      </c>
      <c r="K101" s="71">
        <v>2483</v>
      </c>
      <c r="L101" s="71" t="s">
        <v>1111</v>
      </c>
      <c r="M101" s="84">
        <v>1</v>
      </c>
    </row>
    <row r="102" spans="1:13" x14ac:dyDescent="0.25">
      <c r="A102" t="s">
        <v>1589</v>
      </c>
      <c r="B102" s="85" t="s">
        <v>1590</v>
      </c>
      <c r="C102" s="82" t="str">
        <f t="shared" si="3"/>
        <v>L2484:  Wall Switch-Mounted Occ Sensor, controlling over 200W each</v>
      </c>
      <c r="D102" t="s">
        <v>1579</v>
      </c>
      <c r="E102" t="s">
        <v>1580</v>
      </c>
      <c r="F102" t="s">
        <v>1581</v>
      </c>
      <c r="G102" t="s">
        <v>1097</v>
      </c>
      <c r="I102" s="83">
        <v>7.5</v>
      </c>
      <c r="J102" s="71" t="s">
        <v>1582</v>
      </c>
      <c r="K102" s="71">
        <v>2484</v>
      </c>
      <c r="L102" s="71" t="s">
        <v>1111</v>
      </c>
      <c r="M102" s="84">
        <v>1</v>
      </c>
    </row>
    <row r="103" spans="1:13" x14ac:dyDescent="0.25">
      <c r="A103" t="s">
        <v>1591</v>
      </c>
      <c r="B103" s="85" t="s">
        <v>1592</v>
      </c>
      <c r="C103" s="82" t="str">
        <f t="shared" si="3"/>
        <v>L2474:  Fixture-Mounted Occ Sensor, controlling 200W or less each (non-High Bay)</v>
      </c>
      <c r="D103" t="s">
        <v>1579</v>
      </c>
      <c r="E103" t="s">
        <v>1580</v>
      </c>
      <c r="F103" t="s">
        <v>1581</v>
      </c>
      <c r="G103" t="s">
        <v>1097</v>
      </c>
      <c r="I103" s="83">
        <v>5</v>
      </c>
      <c r="J103" s="71" t="s">
        <v>1582</v>
      </c>
      <c r="K103" s="71">
        <v>2474</v>
      </c>
      <c r="L103" s="71" t="s">
        <v>1111</v>
      </c>
      <c r="M103" s="84">
        <v>1</v>
      </c>
    </row>
    <row r="104" spans="1:13" x14ac:dyDescent="0.25">
      <c r="A104" t="s">
        <v>1593</v>
      </c>
      <c r="B104" s="85" t="s">
        <v>1594</v>
      </c>
      <c r="C104" s="82" t="str">
        <f t="shared" si="3"/>
        <v>L2475:  Fixture-Mounted Occ Sensor, controlling over 200W each (non-High Bay)</v>
      </c>
      <c r="D104" t="s">
        <v>1579</v>
      </c>
      <c r="E104" t="s">
        <v>1580</v>
      </c>
      <c r="F104" t="s">
        <v>1581</v>
      </c>
      <c r="G104" t="s">
        <v>1097</v>
      </c>
      <c r="I104" s="83">
        <v>5</v>
      </c>
      <c r="J104" s="71" t="s">
        <v>1582</v>
      </c>
      <c r="K104" s="71">
        <v>2475</v>
      </c>
      <c r="L104" s="71" t="s">
        <v>1111</v>
      </c>
      <c r="M104" s="84">
        <v>1</v>
      </c>
    </row>
    <row r="105" spans="1:13" x14ac:dyDescent="0.25">
      <c r="A105" s="73" t="s">
        <v>1595</v>
      </c>
      <c r="B105" s="85" t="s">
        <v>1596</v>
      </c>
      <c r="C105" s="82" t="str">
        <f t="shared" ref="C105:C107" si="4">IF(ISBLANK(A105),"",A105&amp;":  ") &amp;B105</f>
        <v>L3965:  Low lumen output fixtures/high fixture density applications (i.e. troffers, downlights, etc.)</v>
      </c>
      <c r="I105" s="83">
        <v>0.25</v>
      </c>
      <c r="J105" s="71" t="s">
        <v>1597</v>
      </c>
      <c r="K105" s="71">
        <v>3965</v>
      </c>
      <c r="L105" s="71" t="s">
        <v>1123</v>
      </c>
      <c r="M105" s="84">
        <v>1</v>
      </c>
    </row>
    <row r="106" spans="1:13" x14ac:dyDescent="0.25">
      <c r="A106" s="73" t="s">
        <v>1598</v>
      </c>
      <c r="B106" s="85" t="s">
        <v>1599</v>
      </c>
      <c r="C106" s="82" t="str">
        <f t="shared" si="4"/>
        <v>L3966:  High lumen output fixtures/low fixture density applications (i.e. high bay)</v>
      </c>
      <c r="I106" s="88">
        <v>0.125</v>
      </c>
      <c r="J106" s="71" t="s">
        <v>1597</v>
      </c>
      <c r="K106" s="71">
        <v>3966</v>
      </c>
      <c r="L106" s="71" t="s">
        <v>1123</v>
      </c>
      <c r="M106" s="84">
        <v>1</v>
      </c>
    </row>
    <row r="107" spans="1:13" x14ac:dyDescent="0.25">
      <c r="A107" t="s">
        <v>1600</v>
      </c>
      <c r="B107" s="85" t="s">
        <v>1601</v>
      </c>
      <c r="C107" s="82" t="str">
        <f t="shared" si="4"/>
        <v>L4101:  Energy Monitoring Bonus</v>
      </c>
      <c r="I107" s="83">
        <v>0.05</v>
      </c>
      <c r="J107" s="71" t="s">
        <v>1597</v>
      </c>
      <c r="K107" s="71">
        <v>4101</v>
      </c>
      <c r="L107" s="71" t="s">
        <v>1123</v>
      </c>
      <c r="M107" s="84">
        <v>1</v>
      </c>
    </row>
    <row r="108" spans="1:13" x14ac:dyDescent="0.25">
      <c r="B108" s="81" t="s">
        <v>1104</v>
      </c>
      <c r="C108" s="82" t="str">
        <f t="shared" ref="C108:C147" si="5">IF(ISBLANK(A108),"",A108&amp;":  ") &amp;B108</f>
        <v>-----------------------COMMERCIAL REFRIGERATION CATALOG: NON-SELF CONTAINED-----------------------</v>
      </c>
      <c r="I108" s="83"/>
      <c r="J108" s="70"/>
      <c r="L108" s="70"/>
      <c r="M108" s="84"/>
    </row>
    <row r="109" spans="1:13" x14ac:dyDescent="0.25">
      <c r="A109" t="s">
        <v>1602</v>
      </c>
      <c r="B109" s="85" t="s">
        <v>1603</v>
      </c>
      <c r="C109" s="82" t="str">
        <f t="shared" si="5"/>
        <v>R2236:  Efficient Reach-in Cooler Case Door, No-Heat Type</v>
      </c>
      <c r="D109" t="s">
        <v>1604</v>
      </c>
      <c r="E109" t="s">
        <v>1605</v>
      </c>
      <c r="F109" t="s">
        <v>1606</v>
      </c>
      <c r="G109" t="s">
        <v>1607</v>
      </c>
      <c r="I109" s="83">
        <v>8</v>
      </c>
      <c r="J109" s="71" t="s">
        <v>1608</v>
      </c>
      <c r="K109" s="71">
        <v>2236</v>
      </c>
      <c r="L109" s="71" t="s">
        <v>1123</v>
      </c>
      <c r="M109" s="84">
        <v>1</v>
      </c>
    </row>
    <row r="110" spans="1:13" x14ac:dyDescent="0.25">
      <c r="A110" t="s">
        <v>1609</v>
      </c>
      <c r="B110" s="85" t="s">
        <v>1610</v>
      </c>
      <c r="C110" s="82" t="str">
        <f t="shared" si="5"/>
        <v>R2234:  Efficient Reach-in Freezer Case Door, Low-Heat Type</v>
      </c>
      <c r="D110" t="s">
        <v>1604</v>
      </c>
      <c r="E110" t="s">
        <v>1611</v>
      </c>
      <c r="F110" t="s">
        <v>1612</v>
      </c>
      <c r="G110" t="s">
        <v>1607</v>
      </c>
      <c r="I110" s="83">
        <v>40</v>
      </c>
      <c r="J110" s="71" t="s">
        <v>1608</v>
      </c>
      <c r="K110" s="71">
        <v>2234</v>
      </c>
      <c r="L110" s="71" t="s">
        <v>1111</v>
      </c>
      <c r="M110" s="84">
        <v>1</v>
      </c>
    </row>
    <row r="111" spans="1:13" x14ac:dyDescent="0.25">
      <c r="A111" t="s">
        <v>1613</v>
      </c>
      <c r="B111" s="85" t="s">
        <v>1614</v>
      </c>
      <c r="C111" s="82" t="str">
        <f t="shared" si="5"/>
        <v>R2235:  Efficient Reach-in Freezer Case Door, No-Heat Type</v>
      </c>
      <c r="D111" t="s">
        <v>1604</v>
      </c>
      <c r="E111" t="s">
        <v>1615</v>
      </c>
      <c r="F111" t="s">
        <v>1616</v>
      </c>
      <c r="G111" t="s">
        <v>1617</v>
      </c>
      <c r="I111" s="83">
        <v>80</v>
      </c>
      <c r="J111" s="71" t="s">
        <v>1608</v>
      </c>
      <c r="K111" s="71">
        <v>2235</v>
      </c>
      <c r="L111" s="71" t="s">
        <v>1123</v>
      </c>
      <c r="M111" s="84">
        <v>1</v>
      </c>
    </row>
    <row r="112" spans="1:13" x14ac:dyDescent="0.25">
      <c r="A112" t="s">
        <v>1618</v>
      </c>
      <c r="B112" s="85" t="s">
        <v>1117</v>
      </c>
      <c r="C112" s="82" t="str">
        <f t="shared" si="5"/>
        <v>R2308:  ECM Evaporator Fan Motor, Walk-In Cooler, &lt; 1/20 hp</v>
      </c>
      <c r="D112" t="s">
        <v>1118</v>
      </c>
      <c r="E112" t="s">
        <v>1119</v>
      </c>
      <c r="F112" t="s">
        <v>1120</v>
      </c>
      <c r="G112" t="s">
        <v>1121</v>
      </c>
      <c r="I112" s="83">
        <v>25</v>
      </c>
      <c r="J112" s="71" t="s">
        <v>1619</v>
      </c>
      <c r="K112" s="71">
        <v>2308</v>
      </c>
      <c r="L112" s="71" t="s">
        <v>1111</v>
      </c>
      <c r="M112" s="84">
        <v>1</v>
      </c>
    </row>
    <row r="113" spans="1:13" x14ac:dyDescent="0.25">
      <c r="A113" t="s">
        <v>1620</v>
      </c>
      <c r="B113" s="85" t="s">
        <v>1125</v>
      </c>
      <c r="C113" s="82" t="str">
        <f t="shared" si="5"/>
        <v>R2309:  ECM Evaporator Fan Motor, Walk-In Cooler, 1/20 - 1 hp</v>
      </c>
      <c r="D113" t="s">
        <v>1118</v>
      </c>
      <c r="E113" t="s">
        <v>1119</v>
      </c>
      <c r="F113" t="s">
        <v>1120</v>
      </c>
      <c r="G113" t="s">
        <v>1121</v>
      </c>
      <c r="I113" s="83">
        <v>50</v>
      </c>
      <c r="J113" s="71" t="s">
        <v>1619</v>
      </c>
      <c r="K113" s="71">
        <v>2309</v>
      </c>
      <c r="L113" s="71" t="s">
        <v>1111</v>
      </c>
      <c r="M113" s="84">
        <v>1</v>
      </c>
    </row>
    <row r="114" spans="1:13" x14ac:dyDescent="0.25">
      <c r="A114" t="s">
        <v>1621</v>
      </c>
      <c r="B114" s="85" t="s">
        <v>1127</v>
      </c>
      <c r="C114" s="82" t="str">
        <f t="shared" si="5"/>
        <v>R2310:  ECM Evaporator Fan Motor, Walk-In Freezer, &lt; 1/20 hp</v>
      </c>
      <c r="D114" t="s">
        <v>1118</v>
      </c>
      <c r="E114" t="s">
        <v>1119</v>
      </c>
      <c r="F114" t="s">
        <v>1120</v>
      </c>
      <c r="G114" t="s">
        <v>1121</v>
      </c>
      <c r="I114" s="83">
        <v>25</v>
      </c>
      <c r="J114" s="71" t="s">
        <v>1619</v>
      </c>
      <c r="K114" s="71">
        <v>2310</v>
      </c>
      <c r="L114" s="71" t="s">
        <v>1111</v>
      </c>
      <c r="M114" s="84">
        <v>1</v>
      </c>
    </row>
    <row r="115" spans="1:13" x14ac:dyDescent="0.25">
      <c r="A115" t="s">
        <v>1622</v>
      </c>
      <c r="B115" s="85" t="s">
        <v>1129</v>
      </c>
      <c r="C115" s="82" t="str">
        <f t="shared" si="5"/>
        <v>R2311:  ECM Evaporator Fan Motor, Walk-In Freezer, 1/20 - 1 hp</v>
      </c>
      <c r="D115" t="s">
        <v>1118</v>
      </c>
      <c r="E115" t="s">
        <v>1119</v>
      </c>
      <c r="F115" t="s">
        <v>1120</v>
      </c>
      <c r="G115" t="s">
        <v>1121</v>
      </c>
      <c r="I115" s="83">
        <v>50</v>
      </c>
      <c r="J115" s="71" t="s">
        <v>1619</v>
      </c>
      <c r="K115" s="71">
        <v>2311</v>
      </c>
      <c r="L115" s="71" t="s">
        <v>1111</v>
      </c>
      <c r="M115" s="84">
        <v>1</v>
      </c>
    </row>
    <row r="116" spans="1:13" x14ac:dyDescent="0.25">
      <c r="A116" t="s">
        <v>1623</v>
      </c>
      <c r="B116" s="85" t="s">
        <v>1131</v>
      </c>
      <c r="C116" s="82" t="str">
        <f t="shared" si="5"/>
        <v>R2312:  ECM Motor, Cooler/Freezer Case</v>
      </c>
      <c r="D116" t="s">
        <v>1118</v>
      </c>
      <c r="E116" t="s">
        <v>1132</v>
      </c>
      <c r="F116" t="s">
        <v>1133</v>
      </c>
      <c r="G116" t="s">
        <v>1121</v>
      </c>
      <c r="I116" s="83">
        <v>25</v>
      </c>
      <c r="J116" s="71" t="s">
        <v>1619</v>
      </c>
      <c r="K116" s="71">
        <v>2312</v>
      </c>
      <c r="L116" s="71" t="s">
        <v>1111</v>
      </c>
      <c r="M116" s="84">
        <v>1</v>
      </c>
    </row>
    <row r="117" spans="1:13" x14ac:dyDescent="0.25">
      <c r="A117" t="s">
        <v>1624</v>
      </c>
      <c r="B117" s="85" t="s">
        <v>1135</v>
      </c>
      <c r="C117" s="82" t="str">
        <f t="shared" si="5"/>
        <v>R4284:  Permanent Magnet Synchronous Motor, Cooler/Freezer Case</v>
      </c>
      <c r="D117" s="87"/>
      <c r="I117" s="83">
        <v>25</v>
      </c>
      <c r="J117" s="71" t="s">
        <v>1122</v>
      </c>
      <c r="K117" s="71" t="s">
        <v>1625</v>
      </c>
      <c r="L117" s="71" t="s">
        <v>1457</v>
      </c>
      <c r="M117" s="84">
        <v>1</v>
      </c>
    </row>
    <row r="118" spans="1:13" x14ac:dyDescent="0.25">
      <c r="A118" t="s">
        <v>1626</v>
      </c>
      <c r="B118" s="85" t="s">
        <v>1137</v>
      </c>
      <c r="C118" s="82" t="str">
        <f t="shared" si="5"/>
        <v>R2306:  ECM Compressor Fan Motor</v>
      </c>
      <c r="D118" t="s">
        <v>1118</v>
      </c>
      <c r="E118" t="s">
        <v>1138</v>
      </c>
      <c r="F118" t="s">
        <v>1139</v>
      </c>
      <c r="I118" s="83">
        <v>25</v>
      </c>
      <c r="J118" s="71" t="s">
        <v>1619</v>
      </c>
      <c r="K118" s="71">
        <v>2306</v>
      </c>
      <c r="L118" s="71" t="s">
        <v>1123</v>
      </c>
      <c r="M118" s="84">
        <v>1</v>
      </c>
    </row>
    <row r="119" spans="1:13" x14ac:dyDescent="0.25">
      <c r="A119" t="s">
        <v>1627</v>
      </c>
      <c r="B119" s="85" t="s">
        <v>1142</v>
      </c>
      <c r="C119" s="82" t="str">
        <f t="shared" si="5"/>
        <v>R2307:  ECM Condenser / Condensing Unit Fan Motor</v>
      </c>
      <c r="D119" t="s">
        <v>1118</v>
      </c>
      <c r="E119" t="s">
        <v>1138</v>
      </c>
      <c r="F119" t="s">
        <v>1139</v>
      </c>
      <c r="I119" s="83">
        <v>25</v>
      </c>
      <c r="J119" s="71" t="s">
        <v>1619</v>
      </c>
      <c r="K119" s="71">
        <v>2307</v>
      </c>
      <c r="L119" s="71" t="s">
        <v>1123</v>
      </c>
      <c r="M119" s="84">
        <v>1</v>
      </c>
    </row>
    <row r="120" spans="1:13" x14ac:dyDescent="0.25">
      <c r="A120" t="s">
        <v>1628</v>
      </c>
      <c r="B120" s="85" t="s">
        <v>1145</v>
      </c>
      <c r="C120" s="82" t="str">
        <f t="shared" si="5"/>
        <v>R3114:  LED, Horizontal Case Lighting, replacing or instead of Linear Fluorescent</v>
      </c>
      <c r="D120" t="s">
        <v>1146</v>
      </c>
      <c r="E120" t="s">
        <v>1147</v>
      </c>
      <c r="F120" t="s">
        <v>1148</v>
      </c>
      <c r="G120" t="s">
        <v>1149</v>
      </c>
      <c r="H120" t="s">
        <v>1150</v>
      </c>
      <c r="I120" s="83">
        <v>4</v>
      </c>
      <c r="J120" s="71" t="s">
        <v>1629</v>
      </c>
      <c r="K120" s="71">
        <v>3114</v>
      </c>
      <c r="L120" s="71" t="s">
        <v>1123</v>
      </c>
      <c r="M120" s="84">
        <v>1</v>
      </c>
    </row>
    <row r="121" spans="1:13" x14ac:dyDescent="0.25">
      <c r="A121" t="s">
        <v>1630</v>
      </c>
      <c r="B121" s="85" t="s">
        <v>1153</v>
      </c>
      <c r="C121" s="82" t="str">
        <f t="shared" si="5"/>
        <v>R2456:  LED, Vertical Case Lighting, replacing or instead of Linear Fluorescent</v>
      </c>
      <c r="D121" t="s">
        <v>1146</v>
      </c>
      <c r="E121" t="s">
        <v>1147</v>
      </c>
      <c r="F121" t="s">
        <v>1148</v>
      </c>
      <c r="G121" t="s">
        <v>1154</v>
      </c>
      <c r="H121" t="s">
        <v>1155</v>
      </c>
      <c r="I121" s="83">
        <v>20</v>
      </c>
      <c r="J121" s="71" t="s">
        <v>744</v>
      </c>
      <c r="K121" s="71">
        <v>2456</v>
      </c>
      <c r="L121" s="71" t="s">
        <v>1111</v>
      </c>
      <c r="M121" s="84">
        <v>1</v>
      </c>
    </row>
    <row r="122" spans="1:13" x14ac:dyDescent="0.25">
      <c r="A122" t="s">
        <v>1631</v>
      </c>
      <c r="B122" s="81" t="s">
        <v>1157</v>
      </c>
      <c r="C122" s="82" t="str">
        <f t="shared" si="5"/>
        <v>R2509:  Reach-In Refrigerated Case w/ Doors replacing or instead of Open Multideck Case</v>
      </c>
      <c r="D122" t="s">
        <v>1158</v>
      </c>
      <c r="E122" t="s">
        <v>1159</v>
      </c>
      <c r="F122" t="s">
        <v>1160</v>
      </c>
      <c r="G122" t="s">
        <v>1161</v>
      </c>
      <c r="H122" t="s">
        <v>1162</v>
      </c>
      <c r="I122" s="83">
        <v>80</v>
      </c>
      <c r="J122" s="71" t="s">
        <v>1632</v>
      </c>
      <c r="K122" s="71">
        <v>2509</v>
      </c>
      <c r="L122" s="71" t="s">
        <v>1123</v>
      </c>
      <c r="M122" s="84">
        <v>1</v>
      </c>
    </row>
    <row r="123" spans="1:13" x14ac:dyDescent="0.25">
      <c r="A123" t="s">
        <v>1633</v>
      </c>
      <c r="B123" s="85" t="s">
        <v>1165</v>
      </c>
      <c r="C123" s="82" t="str">
        <f t="shared" si="5"/>
        <v>R3409:  Retrofit Open Refrigerated Cases with Doors (or new multideck case w/ doors for BIP)</v>
      </c>
      <c r="D123" t="s">
        <v>1166</v>
      </c>
      <c r="E123" t="s">
        <v>1167</v>
      </c>
      <c r="F123" t="s">
        <v>1168</v>
      </c>
      <c r="G123" t="s">
        <v>1169</v>
      </c>
      <c r="H123" t="s">
        <v>1170</v>
      </c>
      <c r="I123" s="83">
        <v>60</v>
      </c>
      <c r="J123" s="71" t="s">
        <v>1632</v>
      </c>
      <c r="K123" s="71">
        <v>3409</v>
      </c>
      <c r="L123" s="70" t="s">
        <v>1123</v>
      </c>
      <c r="M123" s="84">
        <v>1</v>
      </c>
    </row>
    <row r="124" spans="1:13" x14ac:dyDescent="0.25">
      <c r="A124" t="s">
        <v>1634</v>
      </c>
      <c r="B124" s="85" t="s">
        <v>1172</v>
      </c>
      <c r="C124" s="82" t="str">
        <f t="shared" si="5"/>
        <v>R2271:  Cooler Night Curtains, Open Multudeck-Style Cases</v>
      </c>
      <c r="D124" t="s">
        <v>1173</v>
      </c>
      <c r="E124" t="s">
        <v>1174</v>
      </c>
      <c r="F124" t="s">
        <v>1175</v>
      </c>
      <c r="G124" t="s">
        <v>1176</v>
      </c>
      <c r="H124" t="s">
        <v>1177</v>
      </c>
      <c r="I124" s="83">
        <v>7</v>
      </c>
      <c r="J124" s="71" t="s">
        <v>1632</v>
      </c>
      <c r="K124" s="71">
        <v>2271</v>
      </c>
      <c r="L124" s="71" t="s">
        <v>1123</v>
      </c>
      <c r="M124" s="84">
        <v>1</v>
      </c>
    </row>
    <row r="125" spans="1:13" x14ac:dyDescent="0.25">
      <c r="A125" t="s">
        <v>1635</v>
      </c>
      <c r="B125" s="85" t="s">
        <v>1179</v>
      </c>
      <c r="C125" s="82" t="str">
        <f t="shared" si="5"/>
        <v>R3183:  Strip Curtain, Walk-In Freezers and Coolers</v>
      </c>
      <c r="D125" t="s">
        <v>1180</v>
      </c>
      <c r="E125" t="s">
        <v>1181</v>
      </c>
      <c r="F125" t="s">
        <v>1182</v>
      </c>
      <c r="G125" t="s">
        <v>1183</v>
      </c>
      <c r="H125" t="s">
        <v>1184</v>
      </c>
      <c r="I125" s="83">
        <v>7</v>
      </c>
      <c r="J125" s="71" t="s">
        <v>1632</v>
      </c>
      <c r="K125" s="71">
        <v>3183</v>
      </c>
      <c r="L125" s="71" t="s">
        <v>1111</v>
      </c>
      <c r="M125" s="84">
        <v>1</v>
      </c>
    </row>
    <row r="126" spans="1:13" x14ac:dyDescent="0.25">
      <c r="B126" s="81" t="s">
        <v>1185</v>
      </c>
      <c r="C126" s="82" t="str">
        <f t="shared" si="5"/>
        <v>-----------------------COMMERCIAL REFRIGERATION CATALOG: SELF CONTAINED-----------------------</v>
      </c>
      <c r="I126" s="83"/>
      <c r="J126" s="70"/>
      <c r="K126" s="70"/>
      <c r="L126" s="70"/>
      <c r="M126" s="84"/>
    </row>
    <row r="127" spans="1:13" x14ac:dyDescent="0.25">
      <c r="A127" t="s">
        <v>1636</v>
      </c>
      <c r="B127" s="85" t="s">
        <v>1187</v>
      </c>
      <c r="C127" s="82" t="str">
        <f t="shared" si="5"/>
        <v>R2521:  Refrigerator, Chest, Glass Door, &lt;15 cu ft, ENERGY STAR</v>
      </c>
      <c r="D127" t="s">
        <v>1188</v>
      </c>
      <c r="E127" t="s">
        <v>1189</v>
      </c>
      <c r="F127" t="s">
        <v>1190</v>
      </c>
      <c r="G127" t="s">
        <v>1191</v>
      </c>
      <c r="I127" s="83">
        <v>40</v>
      </c>
      <c r="J127" s="71" t="s">
        <v>1192</v>
      </c>
      <c r="K127">
        <v>2521</v>
      </c>
      <c r="L127" s="71" t="s">
        <v>1123</v>
      </c>
      <c r="M127" s="84">
        <v>1</v>
      </c>
    </row>
    <row r="128" spans="1:13" x14ac:dyDescent="0.25">
      <c r="A128" t="s">
        <v>1637</v>
      </c>
      <c r="B128" s="85" t="s">
        <v>1194</v>
      </c>
      <c r="C128" s="82" t="str">
        <f t="shared" si="5"/>
        <v>R2522:  Refrigerator, Chest, Glass Door, 15-29 cu ft, ENERGY STAR</v>
      </c>
      <c r="D128" t="s">
        <v>1188</v>
      </c>
      <c r="E128" t="s">
        <v>1189</v>
      </c>
      <c r="F128" t="s">
        <v>1190</v>
      </c>
      <c r="G128" t="s">
        <v>1191</v>
      </c>
      <c r="I128" s="83">
        <v>60</v>
      </c>
      <c r="J128" s="71" t="s">
        <v>1192</v>
      </c>
      <c r="K128">
        <v>2522</v>
      </c>
      <c r="L128" s="71" t="s">
        <v>1123</v>
      </c>
      <c r="M128" s="84">
        <v>1</v>
      </c>
    </row>
    <row r="129" spans="1:13" x14ac:dyDescent="0.25">
      <c r="A129" t="s">
        <v>1638</v>
      </c>
      <c r="B129" s="85" t="s">
        <v>1196</v>
      </c>
      <c r="C129" s="82" t="str">
        <f t="shared" si="5"/>
        <v>R2523:  Refrigerator, Chest, Glass Door, 30-49 cu ft, ENERGY STAR</v>
      </c>
      <c r="D129" t="s">
        <v>1188</v>
      </c>
      <c r="E129" t="s">
        <v>1189</v>
      </c>
      <c r="F129" t="s">
        <v>1190</v>
      </c>
      <c r="G129" t="s">
        <v>1191</v>
      </c>
      <c r="I129" s="83">
        <v>120</v>
      </c>
      <c r="J129" s="71" t="s">
        <v>1192</v>
      </c>
      <c r="K129">
        <v>2523</v>
      </c>
      <c r="L129" s="71" t="s">
        <v>1123</v>
      </c>
      <c r="M129" s="84">
        <v>1</v>
      </c>
    </row>
    <row r="130" spans="1:13" x14ac:dyDescent="0.25">
      <c r="A130" t="s">
        <v>1639</v>
      </c>
      <c r="B130" s="85" t="s">
        <v>1198</v>
      </c>
      <c r="C130" s="82" t="str">
        <f t="shared" si="5"/>
        <v>R2524:  Refrigerator, Chest, Glass Door, 50+ cu ft, ENERGY STAR</v>
      </c>
      <c r="D130" t="s">
        <v>1188</v>
      </c>
      <c r="E130" t="s">
        <v>1189</v>
      </c>
      <c r="F130" t="s">
        <v>1190</v>
      </c>
      <c r="G130" t="s">
        <v>1191</v>
      </c>
      <c r="I130" s="83">
        <v>160</v>
      </c>
      <c r="J130" s="71" t="s">
        <v>1192</v>
      </c>
      <c r="K130">
        <v>2524</v>
      </c>
      <c r="L130" s="71" t="s">
        <v>1123</v>
      </c>
      <c r="M130" s="84">
        <v>1</v>
      </c>
    </row>
    <row r="131" spans="1:13" x14ac:dyDescent="0.25">
      <c r="A131" t="s">
        <v>1640</v>
      </c>
      <c r="B131" s="85" t="s">
        <v>1200</v>
      </c>
      <c r="C131" s="82" t="str">
        <f t="shared" si="5"/>
        <v>R2525:  Refrigerator, Chest, Solid Door, &lt;15 cu ft, ENERGY STAR</v>
      </c>
      <c r="D131" t="s">
        <v>1188</v>
      </c>
      <c r="E131" t="s">
        <v>1189</v>
      </c>
      <c r="F131" t="s">
        <v>1190</v>
      </c>
      <c r="G131" t="s">
        <v>1191</v>
      </c>
      <c r="I131" s="83">
        <v>40</v>
      </c>
      <c r="J131" s="71" t="s">
        <v>1192</v>
      </c>
      <c r="K131">
        <v>2525</v>
      </c>
      <c r="L131" s="71" t="s">
        <v>1123</v>
      </c>
      <c r="M131" s="84">
        <v>1</v>
      </c>
    </row>
    <row r="132" spans="1:13" x14ac:dyDescent="0.25">
      <c r="A132" t="s">
        <v>1641</v>
      </c>
      <c r="B132" s="85" t="s">
        <v>1202</v>
      </c>
      <c r="C132" s="82" t="str">
        <f t="shared" si="5"/>
        <v>R2526:  Refrigerator, Chest, Solid Door, 15-29 cu ft, ENERGY STAR</v>
      </c>
      <c r="D132" t="s">
        <v>1188</v>
      </c>
      <c r="E132" t="s">
        <v>1189</v>
      </c>
      <c r="F132" t="s">
        <v>1190</v>
      </c>
      <c r="G132" t="s">
        <v>1191</v>
      </c>
      <c r="I132" s="83">
        <v>60</v>
      </c>
      <c r="J132" s="71" t="s">
        <v>1192</v>
      </c>
      <c r="K132">
        <v>2526</v>
      </c>
      <c r="L132" s="71" t="s">
        <v>1123</v>
      </c>
      <c r="M132" s="84">
        <v>1</v>
      </c>
    </row>
    <row r="133" spans="1:13" x14ac:dyDescent="0.25">
      <c r="A133" t="s">
        <v>1642</v>
      </c>
      <c r="B133" s="85" t="s">
        <v>1204</v>
      </c>
      <c r="C133" s="82" t="str">
        <f t="shared" si="5"/>
        <v>R2527:  Refrigerator, Chest, Solid Door, 30-49 cu ft, ENERGY STAR</v>
      </c>
      <c r="D133" t="s">
        <v>1188</v>
      </c>
      <c r="E133" t="s">
        <v>1189</v>
      </c>
      <c r="F133" t="s">
        <v>1190</v>
      </c>
      <c r="G133" t="s">
        <v>1191</v>
      </c>
      <c r="I133" s="83">
        <v>120</v>
      </c>
      <c r="J133" s="71" t="s">
        <v>1192</v>
      </c>
      <c r="K133">
        <v>2527</v>
      </c>
      <c r="L133" s="71" t="s">
        <v>1123</v>
      </c>
      <c r="M133" s="84">
        <v>1</v>
      </c>
    </row>
    <row r="134" spans="1:13" x14ac:dyDescent="0.25">
      <c r="A134" t="s">
        <v>1643</v>
      </c>
      <c r="B134" s="85" t="s">
        <v>1206</v>
      </c>
      <c r="C134" s="82" t="str">
        <f t="shared" si="5"/>
        <v>R2528:  Refrigerator, Chest, Solid Door, 50+ cu ft, ENERGY STAR</v>
      </c>
      <c r="D134" t="s">
        <v>1188</v>
      </c>
      <c r="E134" t="s">
        <v>1189</v>
      </c>
      <c r="F134" t="s">
        <v>1190</v>
      </c>
      <c r="G134" t="s">
        <v>1191</v>
      </c>
      <c r="I134" s="83">
        <v>160</v>
      </c>
      <c r="J134" s="71" t="s">
        <v>1192</v>
      </c>
      <c r="K134">
        <v>2528</v>
      </c>
      <c r="L134" s="71" t="s">
        <v>1123</v>
      </c>
      <c r="M134" s="84">
        <v>1</v>
      </c>
    </row>
    <row r="135" spans="1:13" x14ac:dyDescent="0.25">
      <c r="A135" t="s">
        <v>1644</v>
      </c>
      <c r="B135" s="85" t="s">
        <v>1208</v>
      </c>
      <c r="C135" s="82" t="str">
        <f t="shared" si="5"/>
        <v>R2529:  Refrigerator, Vertical, Glass Door, &lt;15 cu ft, ENERGY STAR</v>
      </c>
      <c r="D135" t="s">
        <v>1188</v>
      </c>
      <c r="E135" t="s">
        <v>1189</v>
      </c>
      <c r="F135" t="s">
        <v>1190</v>
      </c>
      <c r="G135" t="s">
        <v>1191</v>
      </c>
      <c r="I135" s="83">
        <v>40</v>
      </c>
      <c r="J135" s="71" t="s">
        <v>1192</v>
      </c>
      <c r="K135">
        <v>2529</v>
      </c>
      <c r="L135" s="71" t="s">
        <v>1123</v>
      </c>
      <c r="M135" s="84">
        <v>1</v>
      </c>
    </row>
    <row r="136" spans="1:13" x14ac:dyDescent="0.25">
      <c r="A136" t="s">
        <v>1645</v>
      </c>
      <c r="B136" s="85" t="s">
        <v>1210</v>
      </c>
      <c r="C136" s="82" t="str">
        <f t="shared" si="5"/>
        <v>R2530:  Refrigerator, Vertical, Glass Door, 15-29 cu ft, ENERGY STAR</v>
      </c>
      <c r="D136" t="s">
        <v>1188</v>
      </c>
      <c r="E136" t="s">
        <v>1189</v>
      </c>
      <c r="F136" t="s">
        <v>1190</v>
      </c>
      <c r="G136" t="s">
        <v>1191</v>
      </c>
      <c r="I136" s="83">
        <v>60</v>
      </c>
      <c r="J136" s="71" t="s">
        <v>1192</v>
      </c>
      <c r="K136">
        <v>2530</v>
      </c>
      <c r="L136" s="71" t="s">
        <v>1123</v>
      </c>
      <c r="M136" s="84">
        <v>1</v>
      </c>
    </row>
    <row r="137" spans="1:13" x14ac:dyDescent="0.25">
      <c r="A137" t="s">
        <v>1646</v>
      </c>
      <c r="B137" s="85" t="s">
        <v>1212</v>
      </c>
      <c r="C137" s="82" t="str">
        <f t="shared" si="5"/>
        <v>R2531:  Refrigerator, Vertical, Glass Door, 30-49 cu ft, ENERGY STAR</v>
      </c>
      <c r="D137" t="s">
        <v>1188</v>
      </c>
      <c r="E137" t="s">
        <v>1189</v>
      </c>
      <c r="F137" t="s">
        <v>1190</v>
      </c>
      <c r="G137" t="s">
        <v>1191</v>
      </c>
      <c r="I137" s="83">
        <v>120</v>
      </c>
      <c r="J137" s="71" t="s">
        <v>1192</v>
      </c>
      <c r="K137">
        <v>2531</v>
      </c>
      <c r="L137" s="71" t="s">
        <v>1123</v>
      </c>
      <c r="M137" s="84">
        <v>1</v>
      </c>
    </row>
    <row r="138" spans="1:13" x14ac:dyDescent="0.25">
      <c r="A138" t="s">
        <v>1647</v>
      </c>
      <c r="B138" s="85" t="s">
        <v>1214</v>
      </c>
      <c r="C138" s="82" t="str">
        <f t="shared" si="5"/>
        <v>R2532:  Refrigerator, Vertical, Glass Door, 50+ cu ft, ENERGY STAR</v>
      </c>
      <c r="D138" t="s">
        <v>1188</v>
      </c>
      <c r="E138" t="s">
        <v>1189</v>
      </c>
      <c r="F138" t="s">
        <v>1190</v>
      </c>
      <c r="G138" t="s">
        <v>1191</v>
      </c>
      <c r="I138" s="83">
        <v>160</v>
      </c>
      <c r="J138" s="71" t="s">
        <v>1192</v>
      </c>
      <c r="K138">
        <v>2532</v>
      </c>
      <c r="L138" s="71" t="s">
        <v>1123</v>
      </c>
      <c r="M138" s="84">
        <v>1</v>
      </c>
    </row>
    <row r="139" spans="1:13" x14ac:dyDescent="0.25">
      <c r="A139" t="s">
        <v>1648</v>
      </c>
      <c r="B139" s="85" t="s">
        <v>1216</v>
      </c>
      <c r="C139" s="82" t="str">
        <f t="shared" si="5"/>
        <v>R2533:  Refrigerator, Vertical, Solid Door, &lt;15 cu ft, ENERGY STAR</v>
      </c>
      <c r="D139" t="s">
        <v>1188</v>
      </c>
      <c r="E139" t="s">
        <v>1189</v>
      </c>
      <c r="F139" t="s">
        <v>1190</v>
      </c>
      <c r="G139" t="s">
        <v>1191</v>
      </c>
      <c r="I139" s="83">
        <v>40</v>
      </c>
      <c r="J139" s="71" t="s">
        <v>1192</v>
      </c>
      <c r="K139">
        <v>2533</v>
      </c>
      <c r="L139" s="71" t="s">
        <v>1123</v>
      </c>
      <c r="M139" s="84">
        <v>1</v>
      </c>
    </row>
    <row r="140" spans="1:13" x14ac:dyDescent="0.25">
      <c r="A140" t="s">
        <v>1649</v>
      </c>
      <c r="B140" s="85" t="s">
        <v>1218</v>
      </c>
      <c r="C140" s="82" t="str">
        <f t="shared" si="5"/>
        <v>R2534:  Refrigerator, Vertical, Solid Door, 15-29 cu ft, ENERGY STAR</v>
      </c>
      <c r="D140" t="s">
        <v>1188</v>
      </c>
      <c r="E140" t="s">
        <v>1189</v>
      </c>
      <c r="F140" t="s">
        <v>1190</v>
      </c>
      <c r="G140" t="s">
        <v>1191</v>
      </c>
      <c r="I140" s="83">
        <v>60</v>
      </c>
      <c r="J140" s="71" t="s">
        <v>1192</v>
      </c>
      <c r="K140">
        <v>2534</v>
      </c>
      <c r="L140" s="71" t="s">
        <v>1123</v>
      </c>
      <c r="M140" s="84">
        <v>1</v>
      </c>
    </row>
    <row r="141" spans="1:13" x14ac:dyDescent="0.25">
      <c r="A141" t="s">
        <v>1650</v>
      </c>
      <c r="B141" s="85" t="s">
        <v>1220</v>
      </c>
      <c r="C141" s="82" t="str">
        <f t="shared" si="5"/>
        <v>R2535:  Refrigerator, Vertical, Solid Door, 30-49 cu ft, ENERGY STAR</v>
      </c>
      <c r="D141" t="s">
        <v>1188</v>
      </c>
      <c r="E141" t="s">
        <v>1189</v>
      </c>
      <c r="F141" t="s">
        <v>1190</v>
      </c>
      <c r="G141" t="s">
        <v>1191</v>
      </c>
      <c r="I141" s="83">
        <v>120</v>
      </c>
      <c r="J141" s="71" t="s">
        <v>1192</v>
      </c>
      <c r="K141">
        <v>2535</v>
      </c>
      <c r="L141" s="71" t="s">
        <v>1123</v>
      </c>
      <c r="M141" s="84">
        <v>1</v>
      </c>
    </row>
    <row r="142" spans="1:13" x14ac:dyDescent="0.25">
      <c r="A142" t="s">
        <v>1651</v>
      </c>
      <c r="B142" s="85" t="s">
        <v>1222</v>
      </c>
      <c r="C142" s="82" t="str">
        <f t="shared" si="5"/>
        <v>R2536:  Refrigerator, Vertical, Solid Door, 50+ cu ft, ENERGY STAR</v>
      </c>
      <c r="D142" t="s">
        <v>1188</v>
      </c>
      <c r="E142" t="s">
        <v>1189</v>
      </c>
      <c r="F142" t="s">
        <v>1190</v>
      </c>
      <c r="G142" t="s">
        <v>1191</v>
      </c>
      <c r="I142" s="83">
        <v>160</v>
      </c>
      <c r="J142" s="71" t="s">
        <v>1192</v>
      </c>
      <c r="K142">
        <v>2536</v>
      </c>
      <c r="L142" s="71" t="s">
        <v>1123</v>
      </c>
      <c r="M142" s="84">
        <v>1</v>
      </c>
    </row>
    <row r="143" spans="1:13" x14ac:dyDescent="0.25">
      <c r="A143" t="s">
        <v>1652</v>
      </c>
      <c r="B143" s="85" t="s">
        <v>1224</v>
      </c>
      <c r="C143" s="82" t="str">
        <f t="shared" si="5"/>
        <v>R2321:  Freezer, Chest, Glass Door, &lt;15 cu ft, ENERGY STAR</v>
      </c>
      <c r="D143" t="s">
        <v>1188</v>
      </c>
      <c r="E143" t="s">
        <v>1189</v>
      </c>
      <c r="F143" t="s">
        <v>1190</v>
      </c>
      <c r="G143" t="s">
        <v>1225</v>
      </c>
      <c r="I143" s="83">
        <v>40</v>
      </c>
      <c r="J143" s="71" t="s">
        <v>1226</v>
      </c>
      <c r="K143">
        <v>2321</v>
      </c>
      <c r="L143" s="71" t="s">
        <v>1123</v>
      </c>
      <c r="M143" s="84">
        <v>1</v>
      </c>
    </row>
    <row r="144" spans="1:13" x14ac:dyDescent="0.25">
      <c r="A144" t="s">
        <v>1653</v>
      </c>
      <c r="B144" s="85" t="s">
        <v>1228</v>
      </c>
      <c r="C144" s="82" t="str">
        <f t="shared" si="5"/>
        <v>R2322:  Freezer, Chest, Glass Door, 15-29 cu ft, ENERGY STAR</v>
      </c>
      <c r="D144" t="s">
        <v>1188</v>
      </c>
      <c r="E144" t="s">
        <v>1189</v>
      </c>
      <c r="F144" t="s">
        <v>1190</v>
      </c>
      <c r="G144" t="s">
        <v>1225</v>
      </c>
      <c r="I144" s="83">
        <v>60</v>
      </c>
      <c r="J144" s="71" t="s">
        <v>1226</v>
      </c>
      <c r="K144">
        <v>2322</v>
      </c>
      <c r="L144" s="71" t="s">
        <v>1123</v>
      </c>
      <c r="M144" s="84">
        <v>1</v>
      </c>
    </row>
    <row r="145" spans="1:13" x14ac:dyDescent="0.25">
      <c r="A145" t="s">
        <v>1654</v>
      </c>
      <c r="B145" s="85" t="s">
        <v>1230</v>
      </c>
      <c r="C145" s="82" t="str">
        <f t="shared" si="5"/>
        <v>R2323:  Freezer, Chest, Glass Door, 30-49 cu ft, ENERGY STAR</v>
      </c>
      <c r="D145" t="s">
        <v>1188</v>
      </c>
      <c r="E145" t="s">
        <v>1189</v>
      </c>
      <c r="F145" t="s">
        <v>1190</v>
      </c>
      <c r="G145" t="s">
        <v>1225</v>
      </c>
      <c r="I145" s="83">
        <v>120</v>
      </c>
      <c r="J145" s="71" t="s">
        <v>1226</v>
      </c>
      <c r="K145">
        <v>2323</v>
      </c>
      <c r="L145" s="71" t="s">
        <v>1123</v>
      </c>
      <c r="M145" s="84">
        <v>1</v>
      </c>
    </row>
    <row r="146" spans="1:13" x14ac:dyDescent="0.25">
      <c r="A146" t="s">
        <v>1655</v>
      </c>
      <c r="B146" s="85" t="s">
        <v>1232</v>
      </c>
      <c r="C146" s="82" t="str">
        <f t="shared" si="5"/>
        <v>R2324:  Freezer, Chest, Glass Door, 50+ cu ft, ENERGY STAR</v>
      </c>
      <c r="D146" t="s">
        <v>1188</v>
      </c>
      <c r="E146" t="s">
        <v>1189</v>
      </c>
      <c r="F146" t="s">
        <v>1190</v>
      </c>
      <c r="G146" t="s">
        <v>1225</v>
      </c>
      <c r="I146" s="83">
        <v>160</v>
      </c>
      <c r="J146" s="71" t="s">
        <v>1226</v>
      </c>
      <c r="K146">
        <v>2324</v>
      </c>
      <c r="L146" s="71" t="s">
        <v>1123</v>
      </c>
      <c r="M146" s="84">
        <v>1</v>
      </c>
    </row>
    <row r="147" spans="1:13" x14ac:dyDescent="0.25">
      <c r="A147" t="s">
        <v>1656</v>
      </c>
      <c r="B147" s="85" t="s">
        <v>1234</v>
      </c>
      <c r="C147" s="82" t="str">
        <f t="shared" si="5"/>
        <v>R2325:  Freezer, Chest, Solid Door, &lt;15 cu ft, ENERGY STAR</v>
      </c>
      <c r="D147" t="s">
        <v>1188</v>
      </c>
      <c r="E147" t="s">
        <v>1189</v>
      </c>
      <c r="F147" t="s">
        <v>1190</v>
      </c>
      <c r="G147" t="s">
        <v>1225</v>
      </c>
      <c r="I147" s="83">
        <v>40</v>
      </c>
      <c r="J147" s="71" t="s">
        <v>1226</v>
      </c>
      <c r="K147">
        <v>2325</v>
      </c>
      <c r="L147" s="71" t="s">
        <v>1123</v>
      </c>
      <c r="M147" s="84">
        <v>1</v>
      </c>
    </row>
    <row r="148" spans="1:13" x14ac:dyDescent="0.25">
      <c r="A148" t="s">
        <v>1657</v>
      </c>
      <c r="B148" s="85" t="s">
        <v>1236</v>
      </c>
      <c r="C148" s="82" t="str">
        <f t="shared" ref="C148:C177" si="6">IF(ISBLANK(A148),"",A148&amp;":  ") &amp;B148</f>
        <v>R2326:  Freezer, Chest, Solid Door, 15-29 cu ft, ENERGY STAR</v>
      </c>
      <c r="D148" t="s">
        <v>1188</v>
      </c>
      <c r="E148" t="s">
        <v>1189</v>
      </c>
      <c r="F148" t="s">
        <v>1190</v>
      </c>
      <c r="G148" t="s">
        <v>1225</v>
      </c>
      <c r="I148" s="83">
        <v>60</v>
      </c>
      <c r="J148" s="71" t="s">
        <v>1226</v>
      </c>
      <c r="K148">
        <v>2326</v>
      </c>
      <c r="L148" s="71" t="s">
        <v>1123</v>
      </c>
      <c r="M148" s="84">
        <v>1</v>
      </c>
    </row>
    <row r="149" spans="1:13" x14ac:dyDescent="0.25">
      <c r="A149" t="s">
        <v>1658</v>
      </c>
      <c r="B149" s="85" t="s">
        <v>1238</v>
      </c>
      <c r="C149" s="82" t="str">
        <f t="shared" si="6"/>
        <v>R2327:  Freezer, Chest, Solid Door, 30-49 cu ft, ENERGY STAR</v>
      </c>
      <c r="D149" t="s">
        <v>1188</v>
      </c>
      <c r="E149" t="s">
        <v>1189</v>
      </c>
      <c r="F149" t="s">
        <v>1190</v>
      </c>
      <c r="G149" t="s">
        <v>1225</v>
      </c>
      <c r="I149" s="83">
        <v>120</v>
      </c>
      <c r="J149" s="71" t="s">
        <v>1226</v>
      </c>
      <c r="K149">
        <v>2327</v>
      </c>
      <c r="L149" s="71" t="s">
        <v>1123</v>
      </c>
      <c r="M149" s="84">
        <v>1</v>
      </c>
    </row>
    <row r="150" spans="1:13" x14ac:dyDescent="0.25">
      <c r="A150" t="s">
        <v>1659</v>
      </c>
      <c r="B150" s="85" t="s">
        <v>1240</v>
      </c>
      <c r="C150" s="82" t="str">
        <f t="shared" si="6"/>
        <v>R2328:  Freezer, Chest, Solid Door, 50+ cu ft, ENERGY STAR</v>
      </c>
      <c r="D150" t="s">
        <v>1188</v>
      </c>
      <c r="E150" t="s">
        <v>1189</v>
      </c>
      <c r="F150" t="s">
        <v>1190</v>
      </c>
      <c r="G150" t="s">
        <v>1225</v>
      </c>
      <c r="I150" s="83">
        <v>160</v>
      </c>
      <c r="J150" s="71" t="s">
        <v>1226</v>
      </c>
      <c r="K150">
        <v>2328</v>
      </c>
      <c r="L150" s="71" t="s">
        <v>1123</v>
      </c>
      <c r="M150" s="84">
        <v>1</v>
      </c>
    </row>
    <row r="151" spans="1:13" x14ac:dyDescent="0.25">
      <c r="A151" t="s">
        <v>1660</v>
      </c>
      <c r="B151" s="85" t="s">
        <v>1242</v>
      </c>
      <c r="C151" s="82" t="str">
        <f t="shared" si="6"/>
        <v>R2329:  Freezer, Vertical, Glass Door, &lt;15 cu ft, ENERGY STAR</v>
      </c>
      <c r="D151" t="s">
        <v>1188</v>
      </c>
      <c r="E151" t="s">
        <v>1189</v>
      </c>
      <c r="F151" t="s">
        <v>1190</v>
      </c>
      <c r="G151" t="s">
        <v>1225</v>
      </c>
      <c r="I151" s="83">
        <v>40</v>
      </c>
      <c r="J151" s="71" t="s">
        <v>1226</v>
      </c>
      <c r="K151">
        <v>2329</v>
      </c>
      <c r="L151" s="71" t="s">
        <v>1123</v>
      </c>
      <c r="M151" s="84">
        <v>1</v>
      </c>
    </row>
    <row r="152" spans="1:13" x14ac:dyDescent="0.25">
      <c r="A152" t="s">
        <v>1661</v>
      </c>
      <c r="B152" s="85" t="s">
        <v>1244</v>
      </c>
      <c r="C152" s="82" t="str">
        <f t="shared" si="6"/>
        <v>R2330:  Freezer, Vertical, Glass Door, 15-29 cu ft, ENERGY STAR</v>
      </c>
      <c r="D152" t="s">
        <v>1188</v>
      </c>
      <c r="E152" t="s">
        <v>1189</v>
      </c>
      <c r="F152" t="s">
        <v>1190</v>
      </c>
      <c r="G152" t="s">
        <v>1225</v>
      </c>
      <c r="I152" s="83">
        <v>60</v>
      </c>
      <c r="J152" s="71" t="s">
        <v>1226</v>
      </c>
      <c r="K152">
        <v>2330</v>
      </c>
      <c r="L152" s="71" t="s">
        <v>1123</v>
      </c>
      <c r="M152" s="84">
        <v>1</v>
      </c>
    </row>
    <row r="153" spans="1:13" x14ac:dyDescent="0.25">
      <c r="A153" t="s">
        <v>1662</v>
      </c>
      <c r="B153" s="85" t="s">
        <v>1246</v>
      </c>
      <c r="C153" s="82" t="str">
        <f t="shared" si="6"/>
        <v>R2331:  Freezer, Vertical, Glass Door, 30-49 cu ft, ENERGY STAR</v>
      </c>
      <c r="D153" t="s">
        <v>1188</v>
      </c>
      <c r="E153" t="s">
        <v>1189</v>
      </c>
      <c r="F153" t="s">
        <v>1190</v>
      </c>
      <c r="G153" t="s">
        <v>1225</v>
      </c>
      <c r="I153" s="83">
        <v>120</v>
      </c>
      <c r="J153" s="71" t="s">
        <v>1226</v>
      </c>
      <c r="K153">
        <v>2331</v>
      </c>
      <c r="L153" s="71" t="s">
        <v>1123</v>
      </c>
      <c r="M153" s="84">
        <v>1</v>
      </c>
    </row>
    <row r="154" spans="1:13" x14ac:dyDescent="0.25">
      <c r="A154" t="s">
        <v>1663</v>
      </c>
      <c r="B154" s="85" t="s">
        <v>1248</v>
      </c>
      <c r="C154" s="82" t="str">
        <f t="shared" si="6"/>
        <v>R2332:  Freezer, Vertical, Glass Door, 50+ cu ft, ENERGY STAR</v>
      </c>
      <c r="D154" t="s">
        <v>1188</v>
      </c>
      <c r="E154" t="s">
        <v>1189</v>
      </c>
      <c r="F154" t="s">
        <v>1190</v>
      </c>
      <c r="G154" t="s">
        <v>1225</v>
      </c>
      <c r="I154" s="83">
        <v>160</v>
      </c>
      <c r="J154" s="71" t="s">
        <v>1226</v>
      </c>
      <c r="K154">
        <v>2332</v>
      </c>
      <c r="L154" s="71" t="s">
        <v>1123</v>
      </c>
      <c r="M154" s="84">
        <v>1</v>
      </c>
    </row>
    <row r="155" spans="1:13" x14ac:dyDescent="0.25">
      <c r="A155" t="s">
        <v>1664</v>
      </c>
      <c r="B155" s="85" t="s">
        <v>1250</v>
      </c>
      <c r="C155" s="82" t="str">
        <f t="shared" si="6"/>
        <v>R2333:  Freezer, Vertical, Solid Door, &lt;15 cu ft, ENERGY STAR</v>
      </c>
      <c r="D155" t="s">
        <v>1188</v>
      </c>
      <c r="E155" t="s">
        <v>1189</v>
      </c>
      <c r="F155" t="s">
        <v>1190</v>
      </c>
      <c r="G155" t="s">
        <v>1225</v>
      </c>
      <c r="I155" s="83">
        <v>40</v>
      </c>
      <c r="J155" s="71" t="s">
        <v>1226</v>
      </c>
      <c r="K155">
        <v>2333</v>
      </c>
      <c r="L155" s="71" t="s">
        <v>1123</v>
      </c>
      <c r="M155" s="84">
        <v>1</v>
      </c>
    </row>
    <row r="156" spans="1:13" x14ac:dyDescent="0.25">
      <c r="A156" t="s">
        <v>1665</v>
      </c>
      <c r="B156" s="85" t="s">
        <v>1252</v>
      </c>
      <c r="C156" s="82" t="str">
        <f t="shared" si="6"/>
        <v>R2334:  Freezer, Vertical, Solid Door, 15-29 cu ft, ENERGY STAR</v>
      </c>
      <c r="D156" t="s">
        <v>1188</v>
      </c>
      <c r="E156" t="s">
        <v>1189</v>
      </c>
      <c r="F156" t="s">
        <v>1190</v>
      </c>
      <c r="G156" t="s">
        <v>1225</v>
      </c>
      <c r="I156" s="83">
        <v>60</v>
      </c>
      <c r="J156" s="71" t="s">
        <v>1226</v>
      </c>
      <c r="K156">
        <v>2334</v>
      </c>
      <c r="L156" s="71" t="s">
        <v>1123</v>
      </c>
      <c r="M156" s="84">
        <v>1</v>
      </c>
    </row>
    <row r="157" spans="1:13" x14ac:dyDescent="0.25">
      <c r="A157" t="s">
        <v>1666</v>
      </c>
      <c r="B157" s="85" t="s">
        <v>1254</v>
      </c>
      <c r="C157" s="82" t="str">
        <f t="shared" si="6"/>
        <v>R2335:  Freezer, Vertical, Solid Door, 30-49 cu ft, ENERGY STAR</v>
      </c>
      <c r="D157" t="s">
        <v>1188</v>
      </c>
      <c r="E157" t="s">
        <v>1189</v>
      </c>
      <c r="F157" t="s">
        <v>1190</v>
      </c>
      <c r="G157" t="s">
        <v>1225</v>
      </c>
      <c r="I157" s="83">
        <v>120</v>
      </c>
      <c r="J157" s="71" t="s">
        <v>1226</v>
      </c>
      <c r="K157">
        <v>2335</v>
      </c>
      <c r="L157" s="71" t="s">
        <v>1123</v>
      </c>
      <c r="M157" s="84">
        <v>1</v>
      </c>
    </row>
    <row r="158" spans="1:13" x14ac:dyDescent="0.25">
      <c r="A158" t="s">
        <v>1667</v>
      </c>
      <c r="B158" s="85" t="s">
        <v>1256</v>
      </c>
      <c r="C158" s="82" t="str">
        <f t="shared" si="6"/>
        <v>R2336:  Freezer, Vertical, Solid Door, 50+ cu ft, ENERGY STAR</v>
      </c>
      <c r="D158" t="s">
        <v>1188</v>
      </c>
      <c r="E158" t="s">
        <v>1189</v>
      </c>
      <c r="F158" t="s">
        <v>1190</v>
      </c>
      <c r="G158" t="s">
        <v>1225</v>
      </c>
      <c r="I158" s="83">
        <v>160</v>
      </c>
      <c r="J158" s="71" t="s">
        <v>1226</v>
      </c>
      <c r="K158">
        <v>2336</v>
      </c>
      <c r="L158" s="71" t="s">
        <v>1123</v>
      </c>
      <c r="M158" s="84">
        <v>1</v>
      </c>
    </row>
    <row r="159" spans="1:13" x14ac:dyDescent="0.25">
      <c r="A159" t="s">
        <v>1668</v>
      </c>
      <c r="B159" s="85" t="s">
        <v>1258</v>
      </c>
      <c r="C159" s="82" t="str">
        <f t="shared" si="6"/>
        <v>R2615:  Vending Machine, Cold Beverage, Not Software Activated, ENERGY STAR</v>
      </c>
      <c r="D159" t="s">
        <v>1259</v>
      </c>
      <c r="E159" t="s">
        <v>1260</v>
      </c>
      <c r="F159" t="s">
        <v>1261</v>
      </c>
      <c r="G159" t="s">
        <v>1262</v>
      </c>
      <c r="I159" s="83">
        <v>80</v>
      </c>
      <c r="J159" s="71" t="s">
        <v>1263</v>
      </c>
      <c r="K159" s="71">
        <v>2615</v>
      </c>
      <c r="L159" s="71" t="s">
        <v>1123</v>
      </c>
      <c r="M159" s="84">
        <v>1</v>
      </c>
    </row>
    <row r="160" spans="1:13" x14ac:dyDescent="0.25">
      <c r="A160" t="s">
        <v>1669</v>
      </c>
      <c r="B160" s="85" t="s">
        <v>1265</v>
      </c>
      <c r="C160" s="82" t="str">
        <f t="shared" si="6"/>
        <v>R2616:  Vending Machine, Cold Beverage, Software Activated, ENERGY STAR</v>
      </c>
      <c r="D160" t="s">
        <v>1259</v>
      </c>
      <c r="E160" t="s">
        <v>1260</v>
      </c>
      <c r="F160" t="s">
        <v>1261</v>
      </c>
      <c r="G160" t="s">
        <v>1262</v>
      </c>
      <c r="I160" s="83">
        <v>80</v>
      </c>
      <c r="J160" s="71" t="s">
        <v>1263</v>
      </c>
      <c r="K160" s="71">
        <v>2616</v>
      </c>
      <c r="L160" s="71" t="s">
        <v>1123</v>
      </c>
      <c r="M160" s="84">
        <v>1</v>
      </c>
    </row>
    <row r="161" spans="1:13" x14ac:dyDescent="0.25">
      <c r="A161" t="s">
        <v>1670</v>
      </c>
      <c r="B161" s="85" t="s">
        <v>1267</v>
      </c>
      <c r="C161" s="82" t="str">
        <f t="shared" si="6"/>
        <v>R3906:  Commercial Ice Machine, ENERGY STAR, Ice Making Head</v>
      </c>
      <c r="D161" t="s">
        <v>1188</v>
      </c>
      <c r="E161" t="s">
        <v>1189</v>
      </c>
      <c r="F161" t="s">
        <v>1268</v>
      </c>
      <c r="I161" s="83">
        <v>50</v>
      </c>
      <c r="J161" s="71" t="s">
        <v>1269</v>
      </c>
      <c r="K161">
        <v>3906</v>
      </c>
      <c r="L161" s="71" t="s">
        <v>1123</v>
      </c>
      <c r="M161" s="84">
        <v>1</v>
      </c>
    </row>
    <row r="162" spans="1:13" x14ac:dyDescent="0.25">
      <c r="A162" t="s">
        <v>1671</v>
      </c>
      <c r="B162" s="85" t="s">
        <v>1271</v>
      </c>
      <c r="C162" s="82" t="str">
        <f t="shared" si="6"/>
        <v>R3907:  Commercial Ice Machine, ENERGY STAR, Remote Condensing Unit</v>
      </c>
      <c r="D162" t="s">
        <v>1188</v>
      </c>
      <c r="E162" t="s">
        <v>1189</v>
      </c>
      <c r="F162" t="s">
        <v>1268</v>
      </c>
      <c r="I162" s="83">
        <v>50</v>
      </c>
      <c r="J162" s="71" t="s">
        <v>1269</v>
      </c>
      <c r="K162">
        <v>3907</v>
      </c>
      <c r="L162" s="71" t="s">
        <v>1123</v>
      </c>
      <c r="M162" s="84">
        <v>1</v>
      </c>
    </row>
    <row r="163" spans="1:13" x14ac:dyDescent="0.25">
      <c r="A163" t="s">
        <v>1672</v>
      </c>
      <c r="B163" s="85" t="s">
        <v>1273</v>
      </c>
      <c r="C163" s="82" t="str">
        <f t="shared" si="6"/>
        <v>R3908:  Commercial Ice Machine, ENERGY STAR, Self-Contained Unit</v>
      </c>
      <c r="D163" t="s">
        <v>1188</v>
      </c>
      <c r="E163" t="s">
        <v>1189</v>
      </c>
      <c r="F163" t="s">
        <v>1268</v>
      </c>
      <c r="I163" s="83">
        <v>50</v>
      </c>
      <c r="J163" s="71" t="s">
        <v>1269</v>
      </c>
      <c r="K163">
        <v>3908</v>
      </c>
      <c r="L163" s="71" t="s">
        <v>1123</v>
      </c>
      <c r="M163" s="84">
        <v>1</v>
      </c>
    </row>
    <row r="164" spans="1:13" x14ac:dyDescent="0.25">
      <c r="B164" s="81" t="s">
        <v>1274</v>
      </c>
      <c r="C164" s="82" t="str">
        <f t="shared" si="6"/>
        <v>-----------------------COMMERCIAL REFRIGERATION CATALOG: CONTROLS-----------------------</v>
      </c>
      <c r="I164" s="83"/>
      <c r="J164" s="70"/>
      <c r="K164" s="70"/>
      <c r="L164" s="70"/>
      <c r="M164" s="84"/>
    </row>
    <row r="165" spans="1:13" x14ac:dyDescent="0.25">
      <c r="A165" t="s">
        <v>1673</v>
      </c>
      <c r="B165" s="85" t="s">
        <v>1276</v>
      </c>
      <c r="C165" s="82" t="str">
        <f t="shared" si="6"/>
        <v>R2197:  Anti-Sweat Heater Controls, Freezer Case, Low-Heat Door</v>
      </c>
      <c r="D165" t="s">
        <v>1277</v>
      </c>
      <c r="E165" t="s">
        <v>1278</v>
      </c>
      <c r="F165" t="s">
        <v>1279</v>
      </c>
      <c r="G165" t="s">
        <v>1280</v>
      </c>
      <c r="H165" t="s">
        <v>1281</v>
      </c>
      <c r="I165" s="83">
        <v>30</v>
      </c>
      <c r="J165" s="71" t="s">
        <v>1110</v>
      </c>
      <c r="K165">
        <v>2197</v>
      </c>
      <c r="L165" s="71" t="s">
        <v>1123</v>
      </c>
      <c r="M165" s="84">
        <v>1</v>
      </c>
    </row>
    <row r="166" spans="1:13" x14ac:dyDescent="0.25">
      <c r="A166" t="s">
        <v>1674</v>
      </c>
      <c r="B166" s="85" t="s">
        <v>1283</v>
      </c>
      <c r="C166" s="82" t="str">
        <f t="shared" si="6"/>
        <v>R2198:  Anti-Sweat Heater Controls, Freezer Case, No-Heat Door</v>
      </c>
      <c r="D166" t="s">
        <v>1277</v>
      </c>
      <c r="E166" t="s">
        <v>1278</v>
      </c>
      <c r="F166" t="s">
        <v>1284</v>
      </c>
      <c r="G166" t="s">
        <v>1280</v>
      </c>
      <c r="H166" t="s">
        <v>1281</v>
      </c>
      <c r="I166" s="83">
        <v>30</v>
      </c>
      <c r="J166" s="71" t="s">
        <v>1110</v>
      </c>
      <c r="K166">
        <v>2198</v>
      </c>
      <c r="L166" s="71" t="s">
        <v>1123</v>
      </c>
      <c r="M166" s="84">
        <v>1</v>
      </c>
    </row>
    <row r="167" spans="1:13" x14ac:dyDescent="0.25">
      <c r="A167" t="s">
        <v>1675</v>
      </c>
      <c r="B167" s="85" t="s">
        <v>1286</v>
      </c>
      <c r="C167" s="82" t="str">
        <f t="shared" si="6"/>
        <v>R2199:  Anti-Sweat Heater Controls, Freezer Case, Standard Door</v>
      </c>
      <c r="D167" t="s">
        <v>1277</v>
      </c>
      <c r="E167" t="s">
        <v>1278</v>
      </c>
      <c r="F167" t="s">
        <v>1287</v>
      </c>
      <c r="G167" t="s">
        <v>1280</v>
      </c>
      <c r="H167" t="s">
        <v>1281</v>
      </c>
      <c r="I167" s="83">
        <v>30</v>
      </c>
      <c r="J167" s="71" t="s">
        <v>1110</v>
      </c>
      <c r="K167">
        <v>2199</v>
      </c>
      <c r="L167" s="71" t="s">
        <v>1111</v>
      </c>
      <c r="M167" s="84">
        <v>1</v>
      </c>
    </row>
    <row r="168" spans="1:13" x14ac:dyDescent="0.25">
      <c r="A168" t="s">
        <v>1676</v>
      </c>
      <c r="B168" s="85" t="s">
        <v>1289</v>
      </c>
      <c r="C168" s="82" t="str">
        <f t="shared" si="6"/>
        <v>R2200:  Anti-Sweat Heater Controls, Refrigerated Case, Low-Heat or No-Heat Door</v>
      </c>
      <c r="D168" t="s">
        <v>1277</v>
      </c>
      <c r="E168" t="s">
        <v>1278</v>
      </c>
      <c r="F168" t="s">
        <v>1290</v>
      </c>
      <c r="G168" t="s">
        <v>1280</v>
      </c>
      <c r="H168" t="s">
        <v>1281</v>
      </c>
      <c r="I168" s="83">
        <v>30</v>
      </c>
      <c r="J168" s="71" t="s">
        <v>1110</v>
      </c>
      <c r="K168">
        <v>2200</v>
      </c>
      <c r="L168" s="71" t="s">
        <v>1123</v>
      </c>
      <c r="M168" s="84">
        <v>1</v>
      </c>
    </row>
    <row r="169" spans="1:13" x14ac:dyDescent="0.25">
      <c r="A169" t="s">
        <v>1677</v>
      </c>
      <c r="B169" s="85" t="s">
        <v>1292</v>
      </c>
      <c r="C169" s="82" t="str">
        <f t="shared" si="6"/>
        <v>R2201:  Anti-Sweat Heater Controls, Refrigerated Case, Standard Door</v>
      </c>
      <c r="D169" t="s">
        <v>1277</v>
      </c>
      <c r="E169" t="s">
        <v>1278</v>
      </c>
      <c r="F169" t="s">
        <v>1293</v>
      </c>
      <c r="G169" t="s">
        <v>1280</v>
      </c>
      <c r="H169" t="s">
        <v>1281</v>
      </c>
      <c r="I169" s="83">
        <v>30</v>
      </c>
      <c r="J169" s="71" t="s">
        <v>1110</v>
      </c>
      <c r="K169">
        <v>2201</v>
      </c>
      <c r="L169" s="71" t="s">
        <v>1111</v>
      </c>
      <c r="M169" s="84">
        <v>1</v>
      </c>
    </row>
    <row r="170" spans="1:13" x14ac:dyDescent="0.25">
      <c r="A170" t="s">
        <v>1678</v>
      </c>
      <c r="B170" s="81" t="s">
        <v>1679</v>
      </c>
      <c r="C170" s="82" t="str">
        <f t="shared" si="6"/>
        <v>R2269:  Evaporator Fan Control (walk-in coolers and freezers)</v>
      </c>
      <c r="D170" t="s">
        <v>1296</v>
      </c>
      <c r="E170" t="s">
        <v>1297</v>
      </c>
      <c r="F170" t="s">
        <v>1298</v>
      </c>
      <c r="G170" t="s">
        <v>1299</v>
      </c>
      <c r="I170" s="83">
        <v>15</v>
      </c>
      <c r="J170" s="71" t="s">
        <v>1122</v>
      </c>
      <c r="K170" s="71">
        <v>2269</v>
      </c>
      <c r="L170" s="71" t="s">
        <v>1123</v>
      </c>
      <c r="M170" s="84">
        <v>1</v>
      </c>
    </row>
    <row r="171" spans="1:13" x14ac:dyDescent="0.25">
      <c r="A171" t="s">
        <v>1680</v>
      </c>
      <c r="B171" s="85" t="s">
        <v>1307</v>
      </c>
      <c r="C171" s="82" t="str">
        <f t="shared" si="6"/>
        <v>R2482:  Occupancy Sensor, LED Refrigerated Case Lights</v>
      </c>
      <c r="D171" t="s">
        <v>1308</v>
      </c>
      <c r="E171" t="s">
        <v>1309</v>
      </c>
      <c r="F171" t="s">
        <v>1310</v>
      </c>
      <c r="G171" t="s">
        <v>1311</v>
      </c>
      <c r="I171" s="83">
        <v>5</v>
      </c>
      <c r="J171" s="71" t="s">
        <v>1110</v>
      </c>
      <c r="K171" s="71">
        <v>2482</v>
      </c>
      <c r="L171" s="71" t="s">
        <v>1123</v>
      </c>
      <c r="M171" s="84">
        <v>1</v>
      </c>
    </row>
    <row r="172" spans="1:13" x14ac:dyDescent="0.25">
      <c r="A172" t="s">
        <v>1681</v>
      </c>
      <c r="B172" s="81" t="s">
        <v>1313</v>
      </c>
      <c r="C172" s="82" t="str">
        <f t="shared" si="6"/>
        <v>R2510:  Refrigeration Controls, Floating Head Pressure</v>
      </c>
      <c r="D172" t="s">
        <v>1314</v>
      </c>
      <c r="E172" t="s">
        <v>1315</v>
      </c>
      <c r="F172" t="s">
        <v>1316</v>
      </c>
      <c r="G172" t="s">
        <v>1317</v>
      </c>
      <c r="I172" s="83">
        <v>15</v>
      </c>
      <c r="J172" s="71" t="s">
        <v>1318</v>
      </c>
      <c r="K172" s="71">
        <v>2510</v>
      </c>
      <c r="L172" s="71" t="s">
        <v>1123</v>
      </c>
      <c r="M172" s="84">
        <v>1</v>
      </c>
    </row>
    <row r="173" spans="1:13" x14ac:dyDescent="0.25">
      <c r="A173" t="s">
        <v>1682</v>
      </c>
      <c r="B173" s="85" t="s">
        <v>1320</v>
      </c>
      <c r="C173" s="82" t="str">
        <f t="shared" si="6"/>
        <v>R2202:  Beverage Cooler Controls</v>
      </c>
      <c r="D173" t="s">
        <v>1321</v>
      </c>
      <c r="E173" t="s">
        <v>1322</v>
      </c>
      <c r="F173" t="s">
        <v>1323</v>
      </c>
      <c r="G173" t="s">
        <v>1324</v>
      </c>
      <c r="H173" t="s">
        <v>1325</v>
      </c>
      <c r="I173" s="83">
        <v>40</v>
      </c>
      <c r="J173" s="71" t="s">
        <v>1326</v>
      </c>
      <c r="K173" s="71">
        <v>2202</v>
      </c>
      <c r="L173" s="71" t="s">
        <v>1123</v>
      </c>
      <c r="M173" s="84">
        <v>1</v>
      </c>
    </row>
    <row r="174" spans="1:13" x14ac:dyDescent="0.25">
      <c r="A174" t="s">
        <v>1683</v>
      </c>
      <c r="B174" s="85" t="s">
        <v>1328</v>
      </c>
      <c r="C174" s="82" t="str">
        <f t="shared" si="6"/>
        <v>R2611:  Vending Machine Controls, Occupancy Based, Cold Beverage Machine</v>
      </c>
      <c r="D174" t="s">
        <v>1329</v>
      </c>
      <c r="E174" t="s">
        <v>1330</v>
      </c>
      <c r="I174" s="83">
        <v>50</v>
      </c>
      <c r="J174" s="71" t="s">
        <v>1331</v>
      </c>
      <c r="K174" s="71">
        <v>2611</v>
      </c>
      <c r="L174" s="71" t="s">
        <v>1123</v>
      </c>
      <c r="M174" s="84">
        <v>1</v>
      </c>
    </row>
    <row r="175" spans="1:13" x14ac:dyDescent="0.25">
      <c r="A175" t="s">
        <v>1684</v>
      </c>
      <c r="B175" s="85" t="s">
        <v>1333</v>
      </c>
      <c r="C175" s="82" t="str">
        <f t="shared" si="6"/>
        <v>R2612:  Vending Machine Controls, Occupancy Based, Snack Machine</v>
      </c>
      <c r="D175" t="s">
        <v>1329</v>
      </c>
      <c r="E175" t="s">
        <v>1330</v>
      </c>
      <c r="I175" s="83">
        <v>10</v>
      </c>
      <c r="J175" s="71" t="s">
        <v>1331</v>
      </c>
      <c r="K175" s="71">
        <v>2612</v>
      </c>
      <c r="L175" s="71" t="s">
        <v>1123</v>
      </c>
      <c r="M175" s="84">
        <v>1</v>
      </c>
    </row>
    <row r="176" spans="1:13" x14ac:dyDescent="0.25">
      <c r="A176" t="s">
        <v>1685</v>
      </c>
      <c r="B176" s="85" t="s">
        <v>1335</v>
      </c>
      <c r="C176" s="82" t="str">
        <f t="shared" si="6"/>
        <v>R2613:  Vending Machine Controls, Sales Based, Cold Beverage Machine</v>
      </c>
      <c r="D176" t="s">
        <v>1336</v>
      </c>
      <c r="E176" t="s">
        <v>1330</v>
      </c>
      <c r="I176" s="83">
        <v>50</v>
      </c>
      <c r="J176" s="71" t="s">
        <v>1331</v>
      </c>
      <c r="K176" s="71">
        <v>2613</v>
      </c>
      <c r="L176" s="71" t="s">
        <v>1123</v>
      </c>
      <c r="M176" s="84">
        <v>1</v>
      </c>
    </row>
    <row r="177" spans="1:13" x14ac:dyDescent="0.25">
      <c r="A177" t="s">
        <v>1686</v>
      </c>
      <c r="B177" s="85" t="s">
        <v>1411</v>
      </c>
      <c r="C177" s="82" t="str">
        <f t="shared" si="6"/>
        <v>R2614:  Vending Machine Controls, Sales Based, Snack Machine</v>
      </c>
      <c r="D177" t="s">
        <v>1336</v>
      </c>
      <c r="E177" t="s">
        <v>1330</v>
      </c>
      <c r="I177" s="83">
        <v>10</v>
      </c>
      <c r="J177" s="71" t="s">
        <v>1331</v>
      </c>
      <c r="K177" s="71">
        <v>2614</v>
      </c>
      <c r="L177" s="71" t="s">
        <v>1123</v>
      </c>
      <c r="M177" s="84">
        <v>1</v>
      </c>
    </row>
    <row r="178" spans="1:13" x14ac:dyDescent="0.25">
      <c r="B178" s="81" t="s">
        <v>1687</v>
      </c>
      <c r="C178" s="82" t="str">
        <f t="shared" ref="C178" si="7">IF(ISBLANK(A178),"",A178&amp;":  ") &amp;B178</f>
        <v>--------------------------------------SPECIAL OFFERS-----------------------------------</v>
      </c>
      <c r="I178" s="83"/>
      <c r="J178" s="70"/>
      <c r="K178" s="70"/>
      <c r="L178" s="70"/>
      <c r="M178" s="84"/>
    </row>
    <row r="179" spans="1:13" x14ac:dyDescent="0.25">
      <c r="C179" s="82"/>
    </row>
    <row r="183" spans="1:13" x14ac:dyDescent="0.25">
      <c r="C183" s="82"/>
      <c r="M183" s="70"/>
    </row>
    <row r="184" spans="1:13" x14ac:dyDescent="0.25">
      <c r="C184" s="82"/>
      <c r="M184" s="70"/>
    </row>
    <row r="185" spans="1:13" x14ac:dyDescent="0.25">
      <c r="C185" s="82"/>
      <c r="M185" s="70"/>
    </row>
    <row r="186" spans="1:13" x14ac:dyDescent="0.25">
      <c r="C186" s="82"/>
      <c r="M186" s="70"/>
    </row>
    <row r="195" spans="1:13" x14ac:dyDescent="0.25">
      <c r="A195" s="113" t="s">
        <v>1688</v>
      </c>
    </row>
    <row r="196" spans="1:13" x14ac:dyDescent="0.25">
      <c r="A196" t="s">
        <v>1689</v>
      </c>
      <c r="B196" s="85" t="s">
        <v>1690</v>
      </c>
      <c r="C196" s="82" t="str">
        <f t="shared" ref="C196:C199" si="8">IF(ISBLANK(A196),"",A196&amp;":  ") &amp;B196</f>
        <v>L3740:  Linear Ambient LED (per ft), replacing 1L or 2L T8 or T12 in cross section</v>
      </c>
      <c r="D196" t="s">
        <v>1691</v>
      </c>
      <c r="E196" t="s">
        <v>1692</v>
      </c>
      <c r="F196" t="s">
        <v>1693</v>
      </c>
      <c r="G196" t="s">
        <v>1694</v>
      </c>
      <c r="H196" t="s">
        <v>1695</v>
      </c>
      <c r="I196" s="83">
        <v>2</v>
      </c>
      <c r="J196" s="71" t="s">
        <v>1163</v>
      </c>
      <c r="K196" s="71">
        <v>3740</v>
      </c>
      <c r="L196" s="71" t="s">
        <v>1123</v>
      </c>
      <c r="M196" s="84">
        <v>1</v>
      </c>
    </row>
    <row r="197" spans="1:13" x14ac:dyDescent="0.25">
      <c r="A197" t="s">
        <v>1696</v>
      </c>
      <c r="B197" s="85" t="s">
        <v>1697</v>
      </c>
      <c r="C197" s="82" t="str">
        <f t="shared" si="8"/>
        <v>L3741:  Linear Ambient LED (per ft), replacing 3L or 4L T8 or T12 in cross section</v>
      </c>
      <c r="D197" t="s">
        <v>1691</v>
      </c>
      <c r="E197" t="s">
        <v>1692</v>
      </c>
      <c r="F197" t="s">
        <v>1693</v>
      </c>
      <c r="G197" t="s">
        <v>1694</v>
      </c>
      <c r="H197" t="s">
        <v>1698</v>
      </c>
      <c r="I197" s="83">
        <v>5</v>
      </c>
      <c r="J197" s="71" t="s">
        <v>1163</v>
      </c>
      <c r="K197" s="71">
        <v>3741</v>
      </c>
      <c r="L197" s="71" t="s">
        <v>1123</v>
      </c>
      <c r="M197" s="84">
        <v>1</v>
      </c>
    </row>
    <row r="198" spans="1:13" x14ac:dyDescent="0.25">
      <c r="A198" t="s">
        <v>1699</v>
      </c>
      <c r="B198" s="85" t="s">
        <v>1700</v>
      </c>
      <c r="C198" s="82" t="str">
        <f t="shared" si="8"/>
        <v>L3738:  Linear Ambient LED (per ft), replacing 1L or 2L T5 in cross section</v>
      </c>
      <c r="D198" t="s">
        <v>1701</v>
      </c>
      <c r="E198" t="s">
        <v>1692</v>
      </c>
      <c r="F198" t="s">
        <v>1693</v>
      </c>
      <c r="G198" t="s">
        <v>1694</v>
      </c>
      <c r="H198" t="s">
        <v>1702</v>
      </c>
      <c r="I198" s="83">
        <v>2</v>
      </c>
      <c r="J198" s="71" t="s">
        <v>1163</v>
      </c>
      <c r="K198" s="71">
        <v>3738</v>
      </c>
      <c r="L198" s="71" t="s">
        <v>1123</v>
      </c>
      <c r="M198" s="84">
        <v>1</v>
      </c>
    </row>
    <row r="199" spans="1:13" x14ac:dyDescent="0.25">
      <c r="A199" t="s">
        <v>1703</v>
      </c>
      <c r="B199" s="85" t="s">
        <v>1704</v>
      </c>
      <c r="C199" s="82" t="str">
        <f t="shared" si="8"/>
        <v>L3739:  Linear Ambient LED (per ft), replacing 3L or 4L T5 in cross section</v>
      </c>
      <c r="D199" t="s">
        <v>1701</v>
      </c>
      <c r="E199" t="s">
        <v>1692</v>
      </c>
      <c r="F199" t="s">
        <v>1693</v>
      </c>
      <c r="G199" t="s">
        <v>1694</v>
      </c>
      <c r="H199" t="s">
        <v>1705</v>
      </c>
      <c r="I199" s="83">
        <v>5</v>
      </c>
      <c r="J199" s="71" t="s">
        <v>1163</v>
      </c>
      <c r="K199" s="71">
        <v>3739</v>
      </c>
      <c r="L199" s="71" t="s">
        <v>1123</v>
      </c>
      <c r="M199" s="84">
        <v>1</v>
      </c>
    </row>
    <row r="200" spans="1:13" x14ac:dyDescent="0.25">
      <c r="A200" t="s">
        <v>1706</v>
      </c>
    </row>
    <row r="201" spans="1:13" x14ac:dyDescent="0.25">
      <c r="A201" t="s">
        <v>1707</v>
      </c>
    </row>
    <row r="202" spans="1:13" x14ac:dyDescent="0.25">
      <c r="A202" t="s">
        <v>1708</v>
      </c>
    </row>
    <row r="203" spans="1:13" x14ac:dyDescent="0.25">
      <c r="A203" t="s">
        <v>1709</v>
      </c>
    </row>
    <row r="204" spans="1:13" x14ac:dyDescent="0.25">
      <c r="A204" t="s">
        <v>1710</v>
      </c>
    </row>
    <row r="205" spans="1:13" x14ac:dyDescent="0.25">
      <c r="A205" t="s">
        <v>1711</v>
      </c>
    </row>
    <row r="206" spans="1:13" x14ac:dyDescent="0.25">
      <c r="A206" t="s">
        <v>1712</v>
      </c>
    </row>
    <row r="207" spans="1:13" x14ac:dyDescent="0.25">
      <c r="A207" t="s">
        <v>1713</v>
      </c>
    </row>
  </sheetData>
  <autoFilter ref="A2:M178" xr:uid="{00000000-0009-0000-0000-000005000000}"/>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F34D151AE7A24DB4219D9A682F41EC" ma:contentTypeVersion="12" ma:contentTypeDescription="Create a new document." ma:contentTypeScope="" ma:versionID="2ace194d3068c26ea99ba9518db219df">
  <xsd:schema xmlns:xsd="http://www.w3.org/2001/XMLSchema" xmlns:xs="http://www.w3.org/2001/XMLSchema" xmlns:p="http://schemas.microsoft.com/office/2006/metadata/properties" xmlns:ns2="79aefc65-fbeb-4a73-ab03-3117ffe783f9" xmlns:ns3="http://schemas.microsoft.com/sharepoint/v4" xmlns:ns4="b4e5568f-f56b-47f8-a772-55af282e8400" targetNamespace="http://schemas.microsoft.com/office/2006/metadata/properties" ma:root="true" ma:fieldsID="4d8390427fbd5de8f7c53ac3ce6f6ce6" ns2:_="" ns3:_="" ns4:_="">
    <xsd:import namespace="79aefc65-fbeb-4a73-ab03-3117ffe783f9"/>
    <xsd:import namespace="http://schemas.microsoft.com/sharepoint/v4"/>
    <xsd:import namespace="b4e5568f-f56b-47f8-a772-55af282e8400"/>
    <xsd:element name="properties">
      <xsd:complexType>
        <xsd:sequence>
          <xsd:element name="documentManagement">
            <xsd:complexType>
              <xsd:all>
                <xsd:element ref="ns2:SharedWithUsers" minOccurs="0"/>
                <xsd:element ref="ns2:SharingHintHash" minOccurs="0"/>
                <xsd:element ref="ns2:SharedWithDetails" minOccurs="0"/>
                <xsd:element ref="ns3:IconOverlay"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aefc65-fbeb-4a73-ab03-3117ffe783f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e5568f-f56b-47f8-a772-55af282e8400"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335583BC-6BCC-4E57-8572-8C678ADA9B93}">
  <ds:schemaRefs>
    <ds:schemaRef ds:uri="http://schemas.microsoft.com/sharepoint/v3/contenttype/forms"/>
  </ds:schemaRefs>
</ds:datastoreItem>
</file>

<file path=customXml/itemProps2.xml><?xml version="1.0" encoding="utf-8"?>
<ds:datastoreItem xmlns:ds="http://schemas.openxmlformats.org/officeDocument/2006/customXml" ds:itemID="{26B7C441-E975-4019-AD39-5AE7F71AE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aefc65-fbeb-4a73-ab03-3117ffe783f9"/>
    <ds:schemaRef ds:uri="http://schemas.microsoft.com/sharepoint/v4"/>
    <ds:schemaRef ds:uri="b4e5568f-f56b-47f8-a772-55af282e84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489FC2-63E7-42DF-A067-711D7674DE9D}">
  <ds:schemaRefs>
    <ds:schemaRef ds:uri="http://purl.org/dc/dcmitype/"/>
    <ds:schemaRef ds:uri="http://www.w3.org/XML/1998/namespace"/>
    <ds:schemaRef ds:uri="79aefc65-fbeb-4a73-ab03-3117ffe783f9"/>
    <ds:schemaRef ds:uri="http://schemas.microsoft.com/sharepoint/v4"/>
    <ds:schemaRef ds:uri="http://schemas.microsoft.com/office/2006/documentManagement/types"/>
    <ds:schemaRef ds:uri="http://purl.org/dc/terms/"/>
    <ds:schemaRef ds:uri="b4e5568f-f56b-47f8-a772-55af282e8400"/>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48</vt:i4>
      </vt:variant>
    </vt:vector>
  </HeadingPairs>
  <TitlesOfParts>
    <vt:vector size="54" baseType="lpstr">
      <vt:lpstr>Lighting Savings</vt:lpstr>
      <vt:lpstr>Lighting Report</vt:lpstr>
      <vt:lpstr>Refrigeration Savings</vt:lpstr>
      <vt:lpstr>Criteria-SBP</vt:lpstr>
      <vt:lpstr>Refrig Measure Savings</vt:lpstr>
      <vt:lpstr>Criteria-Business</vt:lpstr>
      <vt:lpstr>CeramicMetalHalide</vt:lpstr>
      <vt:lpstr>CFL2PinBased</vt:lpstr>
      <vt:lpstr>CFL4PinBased</vt:lpstr>
      <vt:lpstr>CFLWithIntegralBallastScrewOrGU24Based</vt:lpstr>
      <vt:lpstr>CMHandPSMHLamps</vt:lpstr>
      <vt:lpstr>ColdCathodeFluorescentScrewBasedLamps</vt:lpstr>
      <vt:lpstr>ExitSigns</vt:lpstr>
      <vt:lpstr>HighPressureSodium</vt:lpstr>
      <vt:lpstr>HPT8_4ft</vt:lpstr>
      <vt:lpstr>Incandescent</vt:lpstr>
      <vt:lpstr>Induction</vt:lpstr>
      <vt:lpstr>LED_DLC_Indoor</vt:lpstr>
      <vt:lpstr>LED_DLC_IndoorRetrofitKit</vt:lpstr>
      <vt:lpstr>LED_DLC_LinearReplacementLamp</vt:lpstr>
      <vt:lpstr>LED_DLC_MogulScrewBaseHidReplacement</vt:lpstr>
      <vt:lpstr>LED_DLC_Outdoor</vt:lpstr>
      <vt:lpstr>LED_DLC_OutdoorRetrofitKit</vt:lpstr>
      <vt:lpstr>LED_EnergyStar</vt:lpstr>
      <vt:lpstr>LED_Lighting</vt:lpstr>
      <vt:lpstr>LightingCategoryCompleteList</vt:lpstr>
      <vt:lpstr>MercuryVapor</vt:lpstr>
      <vt:lpstr>MetalHalide</vt:lpstr>
      <vt:lpstr>Neon</vt:lpstr>
      <vt:lpstr>OtherLampOrFixture</vt:lpstr>
      <vt:lpstr>'Lighting Savings'!Print_Area</vt:lpstr>
      <vt:lpstr>PulseStartMetalHalide</vt:lpstr>
      <vt:lpstr>RWT8_4ft</vt:lpstr>
      <vt:lpstr>T12_1.5ft</vt:lpstr>
      <vt:lpstr>T12_2ft</vt:lpstr>
      <vt:lpstr>T12_3ft</vt:lpstr>
      <vt:lpstr>T12_4ft</vt:lpstr>
      <vt:lpstr>T12_5ft</vt:lpstr>
      <vt:lpstr>T12_6ft</vt:lpstr>
      <vt:lpstr>T12_8ft</vt:lpstr>
      <vt:lpstr>T12U_tube</vt:lpstr>
      <vt:lpstr>T5_2ft</vt:lpstr>
      <vt:lpstr>T5_3ft</vt:lpstr>
      <vt:lpstr>T5_4ft</vt:lpstr>
      <vt:lpstr>T8_1.5ft</vt:lpstr>
      <vt:lpstr>T8_2ft</vt:lpstr>
      <vt:lpstr>T8_3ft</vt:lpstr>
      <vt:lpstr>T8_4ft</vt:lpstr>
      <vt:lpstr>T8_4ft_Lamp</vt:lpstr>
      <vt:lpstr>T8_4ft_StdBallastRWlamp</vt:lpstr>
      <vt:lpstr>T8_5ft</vt:lpstr>
      <vt:lpstr>T8_8ft</vt:lpstr>
      <vt:lpstr>T8_8ft_Lamp</vt:lpstr>
      <vt:lpstr>T8U_tube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 Obert</dc:creator>
  <cp:keywords/>
  <dc:description/>
  <cp:lastModifiedBy>Zach Obert</cp:lastModifiedBy>
  <cp:revision/>
  <dcterms:created xsi:type="dcterms:W3CDTF">2017-01-09T14:28:57Z</dcterms:created>
  <dcterms:modified xsi:type="dcterms:W3CDTF">2018-12-29T17:22:48Z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0x010100B3F34D151AE7A24DB4219D9A682F41EC</vt:lpwstr>
  </property>
</Properties>
</file>