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8210" windowHeight="9075" activeTab="0"/>
  </bookViews>
  <sheets>
    <sheet name="hours and cf" sheetId="1" r:id="rId1"/>
    <sheet name="T8 for T12" sheetId="2" r:id="rId2"/>
    <sheet name="High Bay Flur for HID" sheetId="3" r:id="rId3"/>
    <sheet name="Occ Sense High Bay" sheetId="4" r:id="rId4"/>
    <sheet name="cfls" sheetId="5" r:id="rId5"/>
    <sheet name="Alt hrs and cf" sheetId="6" r:id="rId6"/>
    <sheet name="Alt T8 for T12" sheetId="7" r:id="rId7"/>
    <sheet name="Alt HB Fluor for HID" sheetId="8" r:id="rId8"/>
    <sheet name="Alt Occ Sens High Bay" sheetId="9" r:id="rId9"/>
    <sheet name="Alt CFL" sheetId="10" r:id="rId10"/>
  </sheets>
  <definedNames/>
  <calcPr fullCalcOnLoad="1"/>
</workbook>
</file>

<file path=xl/sharedStrings.xml><?xml version="1.0" encoding="utf-8"?>
<sst xmlns="http://schemas.openxmlformats.org/spreadsheetml/2006/main" count="971" uniqueCount="296">
  <si>
    <t>Developing hours of use weighting factors</t>
  </si>
  <si>
    <t>Building Use</t>
  </si>
  <si>
    <t>PG&amp;E 1996</t>
  </si>
  <si>
    <t>DOE</t>
  </si>
  <si>
    <t>RLW Schools</t>
  </si>
  <si>
    <t>PG&amp;E RightLights</t>
  </si>
  <si>
    <t>SDG&amp;E TOU</t>
  </si>
  <si>
    <t>SDG&amp;E 2006</t>
  </si>
  <si>
    <t>Weighted Average</t>
  </si>
  <si>
    <t>Food Sales</t>
  </si>
  <si>
    <t>Meters</t>
  </si>
  <si>
    <t>Food Service</t>
  </si>
  <si>
    <t>Surveys</t>
  </si>
  <si>
    <t>Health Care</t>
  </si>
  <si>
    <t>Sample Size</t>
  </si>
  <si>
    <t>Hotel/Motel</t>
  </si>
  <si>
    <t>Weight</t>
  </si>
  <si>
    <t>Office</t>
  </si>
  <si>
    <t>Public Assembly</t>
  </si>
  <si>
    <t>Public Services (non-food)</t>
  </si>
  <si>
    <t>Retail</t>
  </si>
  <si>
    <t>Warehouse</t>
  </si>
  <si>
    <t>School</t>
  </si>
  <si>
    <t>College</t>
  </si>
  <si>
    <t>Industrial</t>
  </si>
  <si>
    <t>Other</t>
  </si>
  <si>
    <t>CF values and weighted averages</t>
  </si>
  <si>
    <t>RLW CF</t>
  </si>
  <si>
    <t>SDG&amp;E Time of Use</t>
  </si>
  <si>
    <t>Weighting Factor</t>
  </si>
  <si>
    <t>Focus</t>
  </si>
  <si>
    <t>Peak Months</t>
  </si>
  <si>
    <t>May-Oct</t>
  </si>
  <si>
    <t>Jun-Sept</t>
  </si>
  <si>
    <t>Jun-Aug</t>
  </si>
  <si>
    <t>May-Sept</t>
  </si>
  <si>
    <t>Peak Hours</t>
  </si>
  <si>
    <t>12 - 6 pm</t>
  </si>
  <si>
    <t>3 - 5 pm</t>
  </si>
  <si>
    <t>1 - 5 pm</t>
  </si>
  <si>
    <t>1 - 4 pm</t>
  </si>
  <si>
    <t>Total Peak Hours</t>
  </si>
  <si>
    <t>Hours In Focus Peak</t>
  </si>
  <si>
    <t>Percent in Focus Peak</t>
  </si>
  <si>
    <t>Peak Period Weighting Factor</t>
  </si>
  <si>
    <t>Sample Size Weighting Factor</t>
  </si>
  <si>
    <t>Overall Weighting Factor</t>
  </si>
  <si>
    <t>Hours</t>
  </si>
  <si>
    <t>CF</t>
  </si>
  <si>
    <t xml:space="preserve">Public Services </t>
  </si>
  <si>
    <t>Agricultural</t>
  </si>
  <si>
    <t>T12</t>
  </si>
  <si>
    <t>Proposed Values for Existing Watts</t>
  </si>
  <si>
    <t>Fixture Type</t>
  </si>
  <si>
    <t>Input Wattage</t>
  </si>
  <si>
    <t>Weighting</t>
  </si>
  <si>
    <t>Measure</t>
  </si>
  <si>
    <t>Input Watts</t>
  </si>
  <si>
    <t>N/A</t>
  </si>
  <si>
    <t>2.0180.170</t>
  </si>
  <si>
    <t>T12HO</t>
  </si>
  <si>
    <t>2.0181.170</t>
  </si>
  <si>
    <t>T12VHO</t>
  </si>
  <si>
    <t>Lighting Rep. Conversations on VHO vs. HO</t>
  </si>
  <si>
    <t>Installed Fixtures</t>
  </si>
  <si>
    <t>Interview:</t>
  </si>
  <si>
    <t>Location</t>
  </si>
  <si>
    <t>% VHO</t>
  </si>
  <si>
    <t>% HO</t>
  </si>
  <si>
    <t>Gene Scholler with Sylvania Lighting Services</t>
  </si>
  <si>
    <t>Milwaukee</t>
  </si>
  <si>
    <t>Neher Lightbulbs (sales representative)</t>
  </si>
  <si>
    <t>Brian with Gexpro Lightbulbs</t>
  </si>
  <si>
    <t>Wauwatosa</t>
  </si>
  <si>
    <t>Average</t>
  </si>
  <si>
    <t>Average ballast factors from WiSeerts</t>
  </si>
  <si>
    <t>Proposed New Fixture Wattages</t>
  </si>
  <si>
    <t>Projects Reviewed</t>
  </si>
  <si>
    <t>% of Total Projects</t>
  </si>
  <si>
    <t>Avg. Ballast Factor</t>
  </si>
  <si>
    <t>BF Category</t>
  </si>
  <si>
    <t>Ballast Factor</t>
  </si>
  <si>
    <t>Input Watts at BF=1.00</t>
  </si>
  <si>
    <t>Proposed Input Wattage</t>
  </si>
  <si>
    <t>2.0810.170</t>
  </si>
  <si>
    <t>Low</t>
  </si>
  <si>
    <t>2.0811.170</t>
  </si>
  <si>
    <t>Normal</t>
  </si>
  <si>
    <t>new wattages</t>
  </si>
  <si>
    <t>kW</t>
  </si>
  <si>
    <t>kWh</t>
  </si>
  <si>
    <t>Proposed Deemed Savings</t>
  </si>
  <si>
    <t>Existing Watts</t>
  </si>
  <si>
    <t>New Watts</t>
  </si>
  <si>
    <t>Tech Code</t>
  </si>
  <si>
    <t>Measure Description</t>
  </si>
  <si>
    <t xml:space="preserve">T8 4L-4ft High Performance Replacing T12 2L-8 ft </t>
  </si>
  <si>
    <t xml:space="preserve">T8 4L-4ft High Performance Replacing T12HO/VHO 2L-8 ft </t>
  </si>
  <si>
    <t>Watts</t>
  </si>
  <si>
    <t>250-399W
to 2/4 lamp</t>
  </si>
  <si>
    <t>400-999W
to 4/6 lamp</t>
  </si>
  <si>
    <t>400-999W
to 6/8 lamp</t>
  </si>
  <si>
    <t>1000W to 
&lt;=500W</t>
  </si>
  <si>
    <t>1000W to 
501-800W</t>
  </si>
  <si>
    <t>1000W HPS</t>
  </si>
  <si>
    <t>400W HPS</t>
  </si>
  <si>
    <t>250W HPS</t>
  </si>
  <si>
    <t>400W MV</t>
  </si>
  <si>
    <t>250W MV</t>
  </si>
  <si>
    <t>1000W MH</t>
  </si>
  <si>
    <t>750W MH</t>
  </si>
  <si>
    <t>400W MH</t>
  </si>
  <si>
    <t>250W MH</t>
  </si>
  <si>
    <t>750W PS MH</t>
  </si>
  <si>
    <t>320W PS MH</t>
  </si>
  <si>
    <t>250W PS MH</t>
  </si>
  <si>
    <t>Total:</t>
  </si>
  <si>
    <t>Average Watts:</t>
  </si>
  <si>
    <t>1000W+ to 
&lt;=500W</t>
  </si>
  <si>
    <t>1000W+ to 
501-800W</t>
  </si>
  <si>
    <t xml:space="preserve">4L F32T8 HBF </t>
  </si>
  <si>
    <t xml:space="preserve">6L F32T8 HBF </t>
  </si>
  <si>
    <t xml:space="preserve">8L F32T8 HBF </t>
  </si>
  <si>
    <t>16L F32T8 HBF</t>
  </si>
  <si>
    <t xml:space="preserve">2L F54T5 HO </t>
  </si>
  <si>
    <t>4L F54T5 HO</t>
  </si>
  <si>
    <t>6L F54T5 HO</t>
  </si>
  <si>
    <t>(2) 4L F54T5 HO</t>
  </si>
  <si>
    <t>8L F54T5 HO</t>
  </si>
  <si>
    <t>10L F54T5 HO</t>
  </si>
  <si>
    <t>(2) 6L F54T5 HO</t>
  </si>
  <si>
    <t>Old Watts</t>
  </si>
  <si>
    <t>2.5170.170</t>
  </si>
  <si>
    <t>T8 4 lamp or T5HO 2 lamp Replacing 250-399 W HID</t>
  </si>
  <si>
    <t>2.5180.170</t>
  </si>
  <si>
    <t>T8 6 lamp or T5HO 4 lamp Replacing 400-999 W HID</t>
  </si>
  <si>
    <t>2.5182.170</t>
  </si>
  <si>
    <t>T8 8 lamp or T5HO 6 lamp Replacing 400-999 W HID</t>
  </si>
  <si>
    <t>2.5185.170</t>
  </si>
  <si>
    <t>T8/T5HO &lt;= 500 Watts Replacing &gt;=1000 W HID</t>
  </si>
  <si>
    <t>2.5186.170</t>
  </si>
  <si>
    <t>T8 or T5HO &lt;= 800W, Replacing &gt;=1000 W HID</t>
  </si>
  <si>
    <t>Dorms</t>
  </si>
  <si>
    <t>Dormitory</t>
  </si>
  <si>
    <t>2.0300.1650</t>
  </si>
  <si>
    <t>CFL &lt;= 32W, replacing incandescent &lt;=100W</t>
  </si>
  <si>
    <t>2.0307.1650</t>
  </si>
  <si>
    <t xml:space="preserve">CFL reflector flood lamps &lt;=30W replacing incandescent reflector flood lamps &lt;=100W </t>
  </si>
  <si>
    <t>Savings by Measure</t>
  </si>
  <si>
    <t>CFL &lt;32 W</t>
  </si>
  <si>
    <t>CFL Reflector Flood</t>
  </si>
  <si>
    <t>change in watts</t>
  </si>
  <si>
    <t>Building Type</t>
  </si>
  <si>
    <t>kWh Savings</t>
  </si>
  <si>
    <t>Gymnasium</t>
  </si>
  <si>
    <t>Agriculture</t>
  </si>
  <si>
    <t>Percent Off</t>
  </si>
  <si>
    <t>Coincidence Factor</t>
  </si>
  <si>
    <t>kW Savings</t>
  </si>
  <si>
    <t>Public Services</t>
  </si>
  <si>
    <t>Sample of Agriculture Customers from Impact Evaluations</t>
  </si>
  <si>
    <t>Quantity</t>
  </si>
  <si>
    <t>ToD</t>
  </si>
  <si>
    <t>Night</t>
  </si>
  <si>
    <t>Day</t>
  </si>
  <si>
    <t>?</t>
  </si>
  <si>
    <t>Coincidence factor multipliers</t>
  </si>
  <si>
    <t xml:space="preserve">divide hours by: </t>
  </si>
  <si>
    <t>Unknown (?)</t>
  </si>
  <si>
    <t>n/a (CF=0)</t>
  </si>
  <si>
    <r>
      <t xml:space="preserve">T12 Fixture Watts  </t>
    </r>
    <r>
      <rPr>
        <sz val="10"/>
        <rFont val="Arial"/>
        <family val="2"/>
      </rPr>
      <t>(updated May 2009)</t>
    </r>
  </si>
  <si>
    <t>(1) 4' Lamp</t>
  </si>
  <si>
    <t>(2) 4' Lamp</t>
  </si>
  <si>
    <t>(3) 4' Lamp</t>
  </si>
  <si>
    <t>(4) 4' Lamp</t>
  </si>
  <si>
    <t>(1) 8' HO Lamp</t>
  </si>
  <si>
    <t>(1) 8' VHO Lamp</t>
  </si>
  <si>
    <t>(2) 8' Lamp</t>
  </si>
  <si>
    <t>(2) 8' HO Lamp</t>
  </si>
  <si>
    <t>(2) 8' VHO Lamp</t>
  </si>
  <si>
    <t>WISeerts Tech Code</t>
  </si>
  <si>
    <t>Hotel/
Motel</t>
  </si>
  <si>
    <t>2.0301.165</t>
  </si>
  <si>
    <t>CFL High Wattage 31-115 Watts, replacing incandescent</t>
  </si>
  <si>
    <t>2.0305.060</t>
  </si>
  <si>
    <t>CFL Cold Cathode Screw-In, replacing incandescent</t>
  </si>
  <si>
    <t>2.0310.165</t>
  </si>
  <si>
    <t>CFL Direct Install, replacing incandescent, WPS Hometown Checkup</t>
  </si>
  <si>
    <t>2.0400.165</t>
  </si>
  <si>
    <t>CFL Fixture, replacing incandescent fixture</t>
  </si>
  <si>
    <t>n/a</t>
  </si>
  <si>
    <t>Replace incandescent lamps with 14 Watt compact fluorescent lamps, WPS Hometown Checkup</t>
  </si>
  <si>
    <t>Replace incandescent lamps with 20 Watt compact fluorescent lamps, WPS Hometown Checkup</t>
  </si>
  <si>
    <t>Replace incandescent lamps with 23 Watt compact fluorescent lamps, WPS Hometown Checkup</t>
  </si>
  <si>
    <t>Replace incandescent spotlight lamps with 16 Watt spotlight compact fluorescent lamps, WPS Hometown Checkup</t>
  </si>
  <si>
    <t>Hours of Use</t>
  </si>
  <si>
    <t>Space Type</t>
  </si>
  <si>
    <t>Recommended Values</t>
  </si>
  <si>
    <t>Hours values and weighted averages</t>
  </si>
  <si>
    <t>PG&amp;E 1996*</t>
  </si>
  <si>
    <t>* PG&amp;E Public Service is an average of the values reported for Personal and Community Service.</t>
  </si>
  <si>
    <t>Weighted Average*</t>
  </si>
  <si>
    <t>* The "Other" value was assigned to Public Assembly because there were no sources for that building type.</t>
  </si>
  <si>
    <t>Coincidence Factor weighting system</t>
  </si>
  <si>
    <t>Development of agriculture values</t>
  </si>
  <si>
    <t>Hours per Day</t>
  </si>
  <si>
    <t>Project/Lamp Type</t>
  </si>
  <si>
    <t>1/1</t>
  </si>
  <si>
    <t>1/2</t>
  </si>
  <si>
    <t>1/3</t>
  </si>
  <si>
    <t>2/1</t>
  </si>
  <si>
    <t>3/1</t>
  </si>
  <si>
    <t>2/2</t>
  </si>
  <si>
    <t>3/2</t>
  </si>
  <si>
    <t>4/1</t>
  </si>
  <si>
    <t>5/1</t>
  </si>
  <si>
    <t>6/1</t>
  </si>
  <si>
    <t>4/2</t>
  </si>
  <si>
    <t>5/2</t>
  </si>
  <si>
    <t>6/2</t>
  </si>
  <si>
    <t>2/3</t>
  </si>
  <si>
    <t>3/3</t>
  </si>
  <si>
    <t>4/3</t>
  </si>
  <si>
    <t>5/3</t>
  </si>
  <si>
    <t>6/3</t>
  </si>
  <si>
    <t>Avg Hours/yr</t>
  </si>
  <si>
    <t>Total/Avg</t>
  </si>
  <si>
    <t>Dormitory hours of use and coincidence factor are based on the values used by the Residential deemed savings.</t>
  </si>
  <si>
    <t>Hours of use</t>
  </si>
  <si>
    <t xml:space="preserve">Recommended Savings </t>
  </si>
  <si>
    <t>Input Watts at BF=1.00 above are calculated from CEE data that gives values for Ballast Efficacy Factor (BEF).</t>
  </si>
  <si>
    <t xml:space="preserve">BEF is used to convert CEE average fixture wattages to average input wattages, as if the BF is 1.00.  </t>
  </si>
  <si>
    <r>
      <t>Qualifying Products - High-Performance 120 and 277V T8 Ballasts</t>
    </r>
    <r>
      <rPr>
        <sz val="10"/>
        <rFont val="Arial"/>
        <family val="2"/>
      </rPr>
      <t>. CEE High-Performance Commercial Lighting Systems Initiative. Updated 03/31/09.</t>
    </r>
  </si>
  <si>
    <t>Ag</t>
  </si>
  <si>
    <t>Com</t>
  </si>
  <si>
    <t>Ind</t>
  </si>
  <si>
    <t>S&amp;G</t>
  </si>
  <si>
    <t>Total</t>
  </si>
  <si>
    <t>T8 or T5HO &lt;= 500W, Replacing &gt;=1000 W HID</t>
  </si>
  <si>
    <t>CATI Survey Analysis</t>
  </si>
  <si>
    <t>period</t>
  </si>
  <si>
    <t>program</t>
  </si>
  <si>
    <t>_FREQ_</t>
  </si>
  <si>
    <t>wttsin</t>
  </si>
  <si>
    <t>wttsout</t>
  </si>
  <si>
    <t>avg_deltaw</t>
  </si>
  <si>
    <t>avg_weekly_ophrs</t>
  </si>
  <si>
    <t>Annual Hours</t>
  </si>
  <si>
    <t>18 MCP</t>
  </si>
  <si>
    <t>FY04</t>
  </si>
  <si>
    <t>FY06</t>
  </si>
  <si>
    <t>overall</t>
  </si>
  <si>
    <t>sector</t>
  </si>
  <si>
    <t>avg_ophrs</t>
  </si>
  <si>
    <t>Comm</t>
  </si>
  <si>
    <t>Channel</t>
  </si>
  <si>
    <t>Overall</t>
  </si>
  <si>
    <t>Sector</t>
  </si>
  <si>
    <t>Sample</t>
  </si>
  <si>
    <t>Percent</t>
  </si>
  <si>
    <t>Avg. Watts</t>
  </si>
  <si>
    <t>Commercial</t>
  </si>
  <si>
    <t>Schools &amp; Gov't</t>
  </si>
  <si>
    <t>WISeerts data used to produce average CFL flood wattage installed.</t>
  </si>
  <si>
    <t xml:space="preserve">Weight </t>
  </si>
  <si>
    <t xml:space="preserve">Average Hours </t>
  </si>
  <si>
    <t>commercial hours weighted average</t>
  </si>
  <si>
    <t>Average CF</t>
  </si>
  <si>
    <t>commercial CF weighted average</t>
  </si>
  <si>
    <t>hours and cf by building type</t>
  </si>
  <si>
    <t xml:space="preserve">Average CF </t>
  </si>
  <si>
    <t>S&amp;G weighted average</t>
  </si>
  <si>
    <t>Schools-Gov't</t>
  </si>
  <si>
    <t xml:space="preserve">Existing Fixture Wattages </t>
  </si>
  <si>
    <t>* Watts taken from SPC.  Percentages are based on a sample from WISeerts.</t>
  </si>
  <si>
    <t>* Watts taken from Advance Atlas, percentages from a WISeerts sample.</t>
  </si>
  <si>
    <t xml:space="preserve">New Fixture Wattages </t>
  </si>
  <si>
    <t>Wattage from High Bay Fluorescent Measure</t>
  </si>
  <si>
    <t>Recommended Savings</t>
  </si>
  <si>
    <t>Developing Average Wattage from WISeerts Data</t>
  </si>
  <si>
    <t>* Extraction from WISeerts 04/2009</t>
  </si>
  <si>
    <t>Number of Fixtures</t>
  </si>
  <si>
    <t>Total/Average Watts:</t>
  </si>
  <si>
    <t>Hours*</t>
  </si>
  <si>
    <t>* Ag hours of use from CATI Analysis below.  All others are standard hours of use.</t>
  </si>
  <si>
    <t>* Wattages are the average of those from CATI surveys for 18MCP, FY06, and FY04.</t>
  </si>
  <si>
    <t>New Watts*</t>
  </si>
  <si>
    <t>Recommended Savings for Related Measures, kW</t>
  </si>
  <si>
    <t>Recommended Savings for Related Measures, kWh</t>
  </si>
  <si>
    <t>Total/Average</t>
  </si>
  <si>
    <t>Reflector Flood Lamp Analysis</t>
  </si>
  <si>
    <t>Alternate Recommended Hours and CF by Sector</t>
  </si>
  <si>
    <t>* Weights based on DOE study</t>
  </si>
  <si>
    <t>* Weights based on WISeerts analysis</t>
  </si>
  <si>
    <t>Alternate Recommended Savings Using CF/Hours by Sector</t>
  </si>
  <si>
    <t>Schools and Government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</si>
</sst>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\ \W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#,##0.000"/>
    <numFmt numFmtId="173" formatCode="_(* #,##0_);_(* \(#,##0\);_(* &quot;-&quot;??_);_(@_)"/>
    <numFmt numFmtId="174" formatCode="0.000"/>
    <numFmt numFmtId="175" formatCode="#,##0.0000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10"/>
      <name val="Arial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0">
    <xf numFmtId="0" fontId="0" fillId="0" borderId="0" xfId="0" applyAlignment="1">
      <alignment/>
    </xf>
    <xf numFmtId="0" fontId="2" fillId="0" borderId="1" xfId="0" applyFon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 quotePrefix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0" fillId="0" borderId="5" xfId="0" applyNumberFormat="1" applyFill="1" applyBorder="1" applyAlignment="1" quotePrefix="1">
      <alignment horizontal="center" vertical="center"/>
    </xf>
    <xf numFmtId="0" fontId="2" fillId="0" borderId="6" xfId="0" applyFont="1" applyFill="1" applyBorder="1" applyAlignment="1">
      <alignment vertical="center"/>
    </xf>
    <xf numFmtId="9" fontId="0" fillId="0" borderId="7" xfId="0" applyNumberFormat="1" applyFill="1" applyBorder="1" applyAlignment="1">
      <alignment horizontal="center" vertical="center"/>
    </xf>
    <xf numFmtId="9" fontId="0" fillId="0" borderId="8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0" fillId="0" borderId="3" xfId="0" applyNumberFormat="1" applyFill="1" applyBorder="1" applyAlignment="1" quotePrefix="1">
      <alignment horizontal="center" vertical="center"/>
    </xf>
    <xf numFmtId="0" fontId="2" fillId="0" borderId="9" xfId="0" applyFon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  <xf numFmtId="9" fontId="0" fillId="0" borderId="12" xfId="0" applyNumberFormat="1" applyFill="1" applyBorder="1" applyAlignment="1">
      <alignment horizontal="center" vertical="center"/>
    </xf>
    <xf numFmtId="9" fontId="0" fillId="0" borderId="2" xfId="21" applyFill="1" applyBorder="1" applyAlignment="1">
      <alignment horizontal="center" vertical="center"/>
    </xf>
    <xf numFmtId="9" fontId="0" fillId="0" borderId="13" xfId="21" applyFill="1" applyBorder="1" applyAlignment="1">
      <alignment horizontal="center" vertical="center"/>
    </xf>
    <xf numFmtId="9" fontId="0" fillId="0" borderId="2" xfId="0" applyNumberFormat="1" applyFill="1" applyBorder="1" applyAlignment="1">
      <alignment horizontal="center" vertical="center" wrapText="1"/>
    </xf>
    <xf numFmtId="9" fontId="0" fillId="0" borderId="3" xfId="0" applyNumberFormat="1" applyFill="1" applyBorder="1" applyAlignment="1">
      <alignment horizontal="center" vertical="center" wrapText="1"/>
    </xf>
    <xf numFmtId="9" fontId="0" fillId="0" borderId="2" xfId="0" applyNumberFormat="1" applyFill="1" applyBorder="1" applyAlignment="1">
      <alignment horizontal="center" vertical="center"/>
    </xf>
    <xf numFmtId="9" fontId="0" fillId="0" borderId="3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9" fontId="0" fillId="0" borderId="20" xfId="0" applyNumberFormat="1" applyFont="1" applyFill="1" applyBorder="1" applyAlignment="1">
      <alignment horizontal="center"/>
    </xf>
    <xf numFmtId="9" fontId="0" fillId="0" borderId="2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9" fontId="0" fillId="0" borderId="2" xfId="0" applyNumberFormat="1" applyFont="1" applyFill="1" applyBorder="1" applyAlignment="1">
      <alignment horizontal="center"/>
    </xf>
    <xf numFmtId="9" fontId="0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9" fontId="0" fillId="0" borderId="7" xfId="0" applyNumberFormat="1" applyFont="1" applyFill="1" applyBorder="1" applyAlignment="1">
      <alignment horizontal="center"/>
    </xf>
    <xf numFmtId="9" fontId="0" fillId="0" borderId="8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9" fontId="2" fillId="0" borderId="22" xfId="0" applyNumberFormat="1" applyFont="1" applyFill="1" applyBorder="1" applyAlignment="1">
      <alignment horizontal="center"/>
    </xf>
    <xf numFmtId="9" fontId="2" fillId="0" borderId="23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center"/>
    </xf>
    <xf numFmtId="9" fontId="0" fillId="0" borderId="2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horizontal="center"/>
    </xf>
    <xf numFmtId="9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2" fontId="0" fillId="0" borderId="7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3" fillId="0" borderId="20" xfId="0" applyNumberFormat="1" applyFont="1" applyFill="1" applyBorder="1" applyAlignment="1">
      <alignment horizontal="right"/>
    </xf>
    <xf numFmtId="9" fontId="3" fillId="0" borderId="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14" xfId="0" applyFont="1" applyFill="1" applyBorder="1" applyAlignment="1">
      <alignment/>
    </xf>
    <xf numFmtId="165" fontId="3" fillId="2" borderId="2" xfId="0" applyNumberFormat="1" applyFont="1" applyFill="1" applyBorder="1" applyAlignment="1">
      <alignment/>
    </xf>
    <xf numFmtId="1" fontId="3" fillId="2" borderId="2" xfId="0" applyNumberFormat="1" applyFont="1" applyFill="1" applyBorder="1" applyAlignment="1">
      <alignment/>
    </xf>
    <xf numFmtId="1" fontId="3" fillId="2" borderId="5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5" fontId="3" fillId="2" borderId="7" xfId="0" applyNumberFormat="1" applyFont="1" applyFill="1" applyBorder="1" applyAlignment="1">
      <alignment/>
    </xf>
    <xf numFmtId="1" fontId="3" fillId="2" borderId="7" xfId="0" applyNumberFormat="1" applyFont="1" applyFill="1" applyBorder="1" applyAlignment="1">
      <alignment/>
    </xf>
    <xf numFmtId="1" fontId="3" fillId="2" borderId="8" xfId="0" applyNumberFormat="1" applyFont="1" applyFill="1" applyBorder="1" applyAlignment="1">
      <alignment/>
    </xf>
    <xf numFmtId="1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9" fontId="0" fillId="0" borderId="21" xfId="0" applyNumberFormat="1" applyFont="1" applyFill="1" applyBorder="1" applyAlignment="1">
      <alignment horizontal="right"/>
    </xf>
    <xf numFmtId="9" fontId="0" fillId="0" borderId="5" xfId="0" applyNumberFormat="1" applyFont="1" applyFill="1" applyBorder="1" applyAlignment="1">
      <alignment horizontal="right"/>
    </xf>
    <xf numFmtId="9" fontId="0" fillId="0" borderId="8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/>
    </xf>
    <xf numFmtId="1" fontId="3" fillId="0" borderId="5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9" fontId="3" fillId="0" borderId="7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65" fontId="8" fillId="0" borderId="26" xfId="0" applyNumberFormat="1" applyFont="1" applyBorder="1" applyAlignment="1">
      <alignment/>
    </xf>
    <xf numFmtId="0" fontId="9" fillId="2" borderId="27" xfId="0" applyFont="1" applyFill="1" applyBorder="1" applyAlignment="1">
      <alignment horizontal="center"/>
    </xf>
    <xf numFmtId="0" fontId="8" fillId="0" borderId="26" xfId="0" applyFont="1" applyBorder="1" applyAlignment="1">
      <alignment/>
    </xf>
    <xf numFmtId="1" fontId="8" fillId="0" borderId="26" xfId="0" applyNumberFormat="1" applyFont="1" applyBorder="1" applyAlignment="1">
      <alignment/>
    </xf>
    <xf numFmtId="9" fontId="8" fillId="0" borderId="26" xfId="0" applyNumberFormat="1" applyFont="1" applyBorder="1" applyAlignment="1">
      <alignment/>
    </xf>
    <xf numFmtId="0" fontId="8" fillId="0" borderId="28" xfId="0" applyFont="1" applyBorder="1" applyAlignment="1">
      <alignment/>
    </xf>
    <xf numFmtId="9" fontId="8" fillId="0" borderId="28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71" fontId="8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5" xfId="0" applyFill="1" applyBorder="1" applyAlignment="1">
      <alignment horizont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9" fontId="0" fillId="0" borderId="4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9" fontId="2" fillId="0" borderId="0" xfId="0" applyNumberFormat="1" applyFont="1" applyFill="1" applyBorder="1" applyAlignment="1">
      <alignment horizontal="center" vertical="center"/>
    </xf>
    <xf numFmtId="9" fontId="2" fillId="0" borderId="0" xfId="21" applyNumberFormat="1" applyFont="1" applyFill="1" applyBorder="1" applyAlignment="1">
      <alignment horizontal="center" vertical="center"/>
    </xf>
    <xf numFmtId="9" fontId="0" fillId="0" borderId="0" xfId="21" applyNumberForma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/>
    </xf>
    <xf numFmtId="0" fontId="2" fillId="0" borderId="33" xfId="0" applyFont="1" applyBorder="1" applyAlignment="1">
      <alignment/>
    </xf>
    <xf numFmtId="0" fontId="0" fillId="0" borderId="34" xfId="0" applyFill="1" applyBorder="1" applyAlignment="1">
      <alignment/>
    </xf>
    <xf numFmtId="0" fontId="2" fillId="0" borderId="34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9" xfId="0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2" fillId="0" borderId="35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29" xfId="0" applyFill="1" applyBorder="1" applyAlignment="1">
      <alignment horizontal="left"/>
    </xf>
    <xf numFmtId="0" fontId="0" fillId="0" borderId="32" xfId="0" applyFill="1" applyBorder="1" applyAlignment="1">
      <alignment horizontal="right"/>
    </xf>
    <xf numFmtId="0" fontId="0" fillId="0" borderId="23" xfId="0" applyFill="1" applyBorder="1" applyAlignment="1">
      <alignment horizontal="left"/>
    </xf>
    <xf numFmtId="0" fontId="1" fillId="2" borderId="35" xfId="0" applyFont="1" applyFill="1" applyBorder="1" applyAlignment="1">
      <alignment/>
    </xf>
    <xf numFmtId="0" fontId="0" fillId="2" borderId="37" xfId="0" applyFill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25" xfId="0" applyBorder="1" applyAlignment="1">
      <alignment horizontal="center"/>
    </xf>
    <xf numFmtId="3" fontId="8" fillId="0" borderId="26" xfId="0" applyNumberFormat="1" applyFont="1" applyBorder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171" fontId="0" fillId="0" borderId="26" xfId="0" applyNumberFormat="1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3" fontId="0" fillId="2" borderId="2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3" fillId="0" borderId="20" xfId="0" applyNumberFormat="1" applyFont="1" applyFill="1" applyBorder="1" applyAlignment="1">
      <alignment horizontal="right" wrapText="1"/>
    </xf>
    <xf numFmtId="9" fontId="0" fillId="0" borderId="2" xfId="0" applyNumberFormat="1" applyFont="1" applyFill="1" applyBorder="1" applyAlignment="1">
      <alignment horizontal="center" vertical="center"/>
    </xf>
    <xf numFmtId="9" fontId="0" fillId="0" borderId="7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right" vertical="center"/>
    </xf>
    <xf numFmtId="3" fontId="0" fillId="0" borderId="2" xfId="21" applyNumberFormat="1" applyFont="1" applyFill="1" applyBorder="1" applyAlignment="1" quotePrefix="1">
      <alignment horizontal="right" vertical="center"/>
    </xf>
    <xf numFmtId="3" fontId="0" fillId="0" borderId="7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left" vertical="center"/>
    </xf>
    <xf numFmtId="9" fontId="0" fillId="0" borderId="10" xfId="0" applyNumberFormat="1" applyFont="1" applyFill="1" applyBorder="1" applyAlignment="1">
      <alignment horizontal="center" vertical="center"/>
    </xf>
    <xf numFmtId="9" fontId="0" fillId="0" borderId="41" xfId="0" applyNumberFormat="1" applyFont="1" applyFill="1" applyBorder="1" applyAlignment="1">
      <alignment horizontal="center" vertical="center"/>
    </xf>
    <xf numFmtId="9" fontId="0" fillId="0" borderId="12" xfId="21" applyNumberFormat="1" applyFont="1" applyFill="1" applyBorder="1" applyAlignment="1">
      <alignment horizontal="center" vertical="center"/>
    </xf>
    <xf numFmtId="9" fontId="0" fillId="2" borderId="4" xfId="0" applyNumberFormat="1" applyFill="1" applyBorder="1" applyAlignment="1">
      <alignment horizontal="center"/>
    </xf>
    <xf numFmtId="0" fontId="0" fillId="0" borderId="5" xfId="0" applyFill="1" applyBorder="1" applyAlignment="1">
      <alignment/>
    </xf>
    <xf numFmtId="9" fontId="0" fillId="0" borderId="2" xfId="0" applyNumberFormat="1" applyFill="1" applyBorder="1" applyAlignment="1">
      <alignment/>
    </xf>
    <xf numFmtId="9" fontId="0" fillId="2" borderId="2" xfId="0" applyNumberFormat="1" applyFill="1" applyBorder="1" applyAlignment="1">
      <alignment/>
    </xf>
    <xf numFmtId="9" fontId="0" fillId="2" borderId="5" xfId="0" applyNumberFormat="1" applyFill="1" applyBorder="1" applyAlignment="1">
      <alignment/>
    </xf>
    <xf numFmtId="9" fontId="0" fillId="2" borderId="7" xfId="0" applyNumberFormat="1" applyFill="1" applyBorder="1" applyAlignment="1">
      <alignment/>
    </xf>
    <xf numFmtId="9" fontId="0" fillId="2" borderId="8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16" fontId="0" fillId="0" borderId="2" xfId="0" applyNumberFormat="1" applyFill="1" applyBorder="1" applyAlignment="1" quotePrefix="1">
      <alignment horizontal="right"/>
    </xf>
    <xf numFmtId="0" fontId="0" fillId="0" borderId="2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4" xfId="0" applyNumberFormat="1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0" fillId="2" borderId="4" xfId="0" applyNumberFormat="1" applyFill="1" applyBorder="1" applyAlignment="1" quotePrefix="1">
      <alignment horizontal="center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29" xfId="0" applyFill="1" applyBorder="1" applyAlignment="1">
      <alignment/>
    </xf>
    <xf numFmtId="0" fontId="0" fillId="2" borderId="4" xfId="0" applyFill="1" applyBorder="1" applyAlignment="1" quotePrefix="1">
      <alignment horizontal="center"/>
    </xf>
    <xf numFmtId="0" fontId="0" fillId="2" borderId="42" xfId="0" applyNumberFormat="1" applyFill="1" applyBorder="1" applyAlignment="1" quotePrefix="1">
      <alignment horizontal="center"/>
    </xf>
    <xf numFmtId="0" fontId="0" fillId="2" borderId="36" xfId="0" applyFill="1" applyBorder="1" applyAlignment="1">
      <alignment/>
    </xf>
    <xf numFmtId="2" fontId="0" fillId="2" borderId="36" xfId="0" applyNumberFormat="1" applyFill="1" applyBorder="1" applyAlignment="1">
      <alignment/>
    </xf>
    <xf numFmtId="0" fontId="0" fillId="0" borderId="43" xfId="0" applyBorder="1" applyAlignment="1" quotePrefix="1">
      <alignment horizontal="center"/>
    </xf>
    <xf numFmtId="2" fontId="0" fillId="0" borderId="32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42" xfId="0" applyBorder="1" applyAlignment="1">
      <alignment horizontal="left"/>
    </xf>
    <xf numFmtId="9" fontId="0" fillId="0" borderId="34" xfId="0" applyNumberFormat="1" applyFill="1" applyBorder="1" applyAlignment="1">
      <alignment/>
    </xf>
    <xf numFmtId="171" fontId="0" fillId="0" borderId="35" xfId="0" applyNumberFormat="1" applyFill="1" applyBorder="1" applyAlignment="1">
      <alignment/>
    </xf>
    <xf numFmtId="3" fontId="3" fillId="0" borderId="2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35" xfId="0" applyFont="1" applyFill="1" applyBorder="1" applyAlignment="1">
      <alignment/>
    </xf>
    <xf numFmtId="0" fontId="5" fillId="2" borderId="3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2" borderId="13" xfId="0" applyNumberFormat="1" applyFont="1" applyFill="1" applyBorder="1" applyAlignment="1">
      <alignment/>
    </xf>
    <xf numFmtId="165" fontId="3" fillId="0" borderId="13" xfId="0" applyNumberFormat="1" applyFont="1" applyFill="1" applyBorder="1" applyAlignment="1">
      <alignment/>
    </xf>
    <xf numFmtId="165" fontId="3" fillId="0" borderId="2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8" fillId="0" borderId="26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8" fillId="0" borderId="2" xfId="0" applyNumberFormat="1" applyFont="1" applyFill="1" applyBorder="1" applyAlignment="1">
      <alignment horizontal="center" wrapText="1"/>
    </xf>
    <xf numFmtId="9" fontId="8" fillId="0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3" fontId="8" fillId="0" borderId="7" xfId="0" applyNumberFormat="1" applyFont="1" applyFill="1" applyBorder="1" applyAlignment="1">
      <alignment horizontal="center" wrapText="1"/>
    </xf>
    <xf numFmtId="9" fontId="8" fillId="0" borderId="8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wrapText="1"/>
    </xf>
    <xf numFmtId="1" fontId="3" fillId="0" borderId="7" xfId="0" applyNumberFormat="1" applyFont="1" applyBorder="1" applyAlignment="1">
      <alignment/>
    </xf>
    <xf numFmtId="1" fontId="3" fillId="0" borderId="8" xfId="0" applyNumberFormat="1" applyFont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11" fillId="0" borderId="0" xfId="0" applyFont="1" applyAlignment="1">
      <alignment wrapText="1"/>
    </xf>
    <xf numFmtId="0" fontId="9" fillId="0" borderId="14" xfId="0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horizontal="right" vertical="center" wrapText="1"/>
    </xf>
    <xf numFmtId="9" fontId="8" fillId="0" borderId="2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right" vertical="center"/>
    </xf>
    <xf numFmtId="9" fontId="8" fillId="0" borderId="5" xfId="0" applyNumberFormat="1" applyFont="1" applyFill="1" applyBorder="1" applyAlignment="1">
      <alignment horizontal="right"/>
    </xf>
    <xf numFmtId="3" fontId="8" fillId="0" borderId="2" xfId="21" applyNumberFormat="1" applyFont="1" applyFill="1" applyBorder="1" applyAlignment="1" quotePrefix="1">
      <alignment horizontal="right" vertical="center"/>
    </xf>
    <xf numFmtId="3" fontId="8" fillId="0" borderId="2" xfId="0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horizontal="right" vertical="center"/>
    </xf>
    <xf numFmtId="9" fontId="8" fillId="0" borderId="8" xfId="0" applyNumberFormat="1" applyFont="1" applyFill="1" applyBorder="1" applyAlignment="1">
      <alignment horizontal="right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42" xfId="0" applyFont="1" applyBorder="1" applyAlignment="1">
      <alignment/>
    </xf>
    <xf numFmtId="3" fontId="8" fillId="0" borderId="14" xfId="0" applyNumberFormat="1" applyFont="1" applyFill="1" applyBorder="1" applyAlignment="1">
      <alignment vertical="center"/>
    </xf>
    <xf numFmtId="3" fontId="8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0" fontId="9" fillId="2" borderId="4" xfId="0" applyFont="1" applyFill="1" applyBorder="1" applyAlignment="1">
      <alignment/>
    </xf>
    <xf numFmtId="3" fontId="8" fillId="2" borderId="1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0" fontId="9" fillId="0" borderId="4" xfId="0" applyFont="1" applyBorder="1" applyAlignment="1">
      <alignment/>
    </xf>
    <xf numFmtId="3" fontId="8" fillId="0" borderId="1" xfId="0" applyNumberFormat="1" applyFont="1" applyFill="1" applyBorder="1" applyAlignment="1">
      <alignment vertical="center"/>
    </xf>
    <xf numFmtId="3" fontId="8" fillId="0" borderId="2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164" fontId="8" fillId="0" borderId="0" xfId="21" applyNumberFormat="1" applyFont="1" applyBorder="1" applyAlignment="1">
      <alignment/>
    </xf>
    <xf numFmtId="0" fontId="9" fillId="0" borderId="43" xfId="0" applyFont="1" applyBorder="1" applyAlignment="1">
      <alignment/>
    </xf>
    <xf numFmtId="3" fontId="8" fillId="0" borderId="6" xfId="0" applyNumberFormat="1" applyFont="1" applyFill="1" applyBorder="1" applyAlignment="1">
      <alignment vertical="center"/>
    </xf>
    <xf numFmtId="3" fontId="8" fillId="0" borderId="7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9" fontId="9" fillId="2" borderId="42" xfId="0" applyNumberFormat="1" applyFont="1" applyFill="1" applyBorder="1" applyAlignment="1">
      <alignment/>
    </xf>
    <xf numFmtId="9" fontId="8" fillId="2" borderId="14" xfId="0" applyNumberFormat="1" applyFont="1" applyFill="1" applyBorder="1" applyAlignment="1">
      <alignment/>
    </xf>
    <xf numFmtId="9" fontId="8" fillId="2" borderId="20" xfId="0" applyNumberFormat="1" applyFont="1" applyFill="1" applyBorder="1" applyAlignment="1">
      <alignment/>
    </xf>
    <xf numFmtId="9" fontId="8" fillId="2" borderId="21" xfId="0" applyNumberFormat="1" applyFont="1" applyFill="1" applyBorder="1" applyAlignment="1">
      <alignment/>
    </xf>
    <xf numFmtId="9" fontId="9" fillId="0" borderId="43" xfId="0" applyNumberFormat="1" applyFont="1" applyBorder="1" applyAlignment="1">
      <alignment/>
    </xf>
    <xf numFmtId="9" fontId="8" fillId="0" borderId="6" xfId="0" applyNumberFormat="1" applyFont="1" applyBorder="1" applyAlignment="1">
      <alignment/>
    </xf>
    <xf numFmtId="9" fontId="8" fillId="0" borderId="7" xfId="0" applyNumberFormat="1" applyFont="1" applyBorder="1" applyAlignment="1">
      <alignment/>
    </xf>
    <xf numFmtId="9" fontId="8" fillId="0" borderId="8" xfId="0" applyNumberFormat="1" applyFont="1" applyBorder="1" applyAlignment="1">
      <alignment/>
    </xf>
    <xf numFmtId="9" fontId="9" fillId="0" borderId="12" xfId="0" applyNumberFormat="1" applyFont="1" applyBorder="1" applyAlignment="1">
      <alignment/>
    </xf>
    <xf numFmtId="9" fontId="9" fillId="0" borderId="9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0" fontId="9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10" fontId="5" fillId="0" borderId="0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/>
    </xf>
    <xf numFmtId="3" fontId="3" fillId="2" borderId="5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0" fontId="5" fillId="0" borderId="44" xfId="0" applyFont="1" applyBorder="1" applyAlignment="1">
      <alignment horizontal="center"/>
    </xf>
    <xf numFmtId="9" fontId="3" fillId="0" borderId="21" xfId="0" applyNumberFormat="1" applyFont="1" applyFill="1" applyBorder="1" applyAlignment="1">
      <alignment horizontal="right"/>
    </xf>
    <xf numFmtId="9" fontId="3" fillId="0" borderId="5" xfId="0" applyNumberFormat="1" applyFont="1" applyFill="1" applyBorder="1" applyAlignment="1">
      <alignment horizontal="right"/>
    </xf>
    <xf numFmtId="9" fontId="3" fillId="0" borderId="8" xfId="0" applyNumberFormat="1" applyFont="1" applyFill="1" applyBorder="1" applyAlignment="1">
      <alignment horizontal="right"/>
    </xf>
    <xf numFmtId="0" fontId="5" fillId="0" borderId="40" xfId="0" applyFont="1" applyBorder="1" applyAlignment="1">
      <alignment horizontal="center"/>
    </xf>
    <xf numFmtId="165" fontId="3" fillId="0" borderId="1" xfId="0" applyNumberFormat="1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5" fontId="3" fillId="0" borderId="6" xfId="0" applyNumberFormat="1" applyFont="1" applyFill="1" applyBorder="1" applyAlignment="1">
      <alignment/>
    </xf>
    <xf numFmtId="0" fontId="5" fillId="0" borderId="45" xfId="0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3" fontId="3" fillId="2" borderId="3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46" xfId="0" applyNumberFormat="1" applyFont="1" applyFill="1" applyBorder="1" applyAlignment="1">
      <alignment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3" fontId="3" fillId="0" borderId="29" xfId="0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9" fontId="3" fillId="0" borderId="13" xfId="0" applyNumberFormat="1" applyFont="1" applyBorder="1" applyAlignment="1">
      <alignment/>
    </xf>
    <xf numFmtId="9" fontId="3" fillId="0" borderId="29" xfId="0" applyNumberFormat="1" applyFont="1" applyBorder="1" applyAlignment="1">
      <alignment/>
    </xf>
    <xf numFmtId="0" fontId="5" fillId="0" borderId="18" xfId="0" applyFont="1" applyBorder="1" applyAlignment="1">
      <alignment/>
    </xf>
    <xf numFmtId="166" fontId="5" fillId="0" borderId="9" xfId="0" applyNumberFormat="1" applyFont="1" applyBorder="1" applyAlignment="1">
      <alignment/>
    </xf>
    <xf numFmtId="166" fontId="5" fillId="0" borderId="19" xfId="0" applyNumberFormat="1" applyFont="1" applyBorder="1" applyAlignment="1">
      <alignment/>
    </xf>
    <xf numFmtId="166" fontId="5" fillId="0" borderId="18" xfId="0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5" fillId="0" borderId="9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5" fillId="2" borderId="1" xfId="0" applyFont="1" applyFill="1" applyBorder="1" applyAlignment="1">
      <alignment/>
    </xf>
    <xf numFmtId="3" fontId="3" fillId="2" borderId="29" xfId="0" applyNumberFormat="1" applyFont="1" applyFill="1" applyBorder="1" applyAlignment="1">
      <alignment/>
    </xf>
    <xf numFmtId="9" fontId="3" fillId="2" borderId="14" xfId="0" applyNumberFormat="1" applyFont="1" applyFill="1" applyBorder="1" applyAlignment="1">
      <alignment/>
    </xf>
    <xf numFmtId="9" fontId="3" fillId="2" borderId="47" xfId="0" applyNumberFormat="1" applyFont="1" applyFill="1" applyBorder="1" applyAlignment="1">
      <alignment/>
    </xf>
    <xf numFmtId="9" fontId="3" fillId="2" borderId="37" xfId="0" applyNumberFormat="1" applyFont="1" applyFill="1" applyBorder="1" applyAlignment="1">
      <alignment/>
    </xf>
    <xf numFmtId="9" fontId="3" fillId="2" borderId="1" xfId="0" applyNumberFormat="1" applyFont="1" applyFill="1" applyBorder="1" applyAlignment="1">
      <alignment/>
    </xf>
    <xf numFmtId="9" fontId="3" fillId="2" borderId="13" xfId="0" applyNumberFormat="1" applyFont="1" applyFill="1" applyBorder="1" applyAlignment="1">
      <alignment/>
    </xf>
    <xf numFmtId="9" fontId="3" fillId="2" borderId="29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9" fontId="3" fillId="0" borderId="9" xfId="0" applyNumberFormat="1" applyFont="1" applyFill="1" applyBorder="1" applyAlignment="1">
      <alignment/>
    </xf>
    <xf numFmtId="9" fontId="3" fillId="0" borderId="19" xfId="0" applyNumberFormat="1" applyFont="1" applyFill="1" applyBorder="1" applyAlignment="1">
      <alignment/>
    </xf>
    <xf numFmtId="9" fontId="3" fillId="0" borderId="18" xfId="0" applyNumberFormat="1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29" xfId="0" applyFont="1" applyBorder="1" applyAlignment="1">
      <alignment/>
    </xf>
    <xf numFmtId="9" fontId="3" fillId="0" borderId="29" xfId="0" applyNumberFormat="1" applyFont="1" applyBorder="1" applyAlignment="1">
      <alignment/>
    </xf>
    <xf numFmtId="0" fontId="5" fillId="0" borderId="6" xfId="0" applyFont="1" applyBorder="1" applyAlignment="1">
      <alignment/>
    </xf>
    <xf numFmtId="9" fontId="3" fillId="0" borderId="13" xfId="0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9" fontId="5" fillId="0" borderId="9" xfId="0" applyNumberFormat="1" applyFont="1" applyBorder="1" applyAlignment="1">
      <alignment/>
    </xf>
    <xf numFmtId="9" fontId="5" fillId="0" borderId="18" xfId="0" applyNumberFormat="1" applyFont="1" applyBorder="1" applyAlignment="1">
      <alignment/>
    </xf>
    <xf numFmtId="9" fontId="5" fillId="0" borderId="19" xfId="0" applyNumberFormat="1" applyFont="1" applyBorder="1" applyAlignment="1">
      <alignment/>
    </xf>
    <xf numFmtId="0" fontId="5" fillId="0" borderId="23" xfId="0" applyFont="1" applyBorder="1" applyAlignment="1">
      <alignment/>
    </xf>
    <xf numFmtId="166" fontId="5" fillId="0" borderId="6" xfId="0" applyNumberFormat="1" applyFont="1" applyBorder="1" applyAlignment="1">
      <alignment/>
    </xf>
    <xf numFmtId="166" fontId="5" fillId="0" borderId="22" xfId="0" applyNumberFormat="1" applyFont="1" applyBorder="1" applyAlignment="1">
      <alignment/>
    </xf>
    <xf numFmtId="166" fontId="5" fillId="0" borderId="23" xfId="0" applyNumberFormat="1" applyFont="1" applyBorder="1" applyAlignment="1">
      <alignment/>
    </xf>
    <xf numFmtId="3" fontId="3" fillId="2" borderId="29" xfId="0" applyNumberFormat="1" applyFont="1" applyFill="1" applyBorder="1" applyAlignment="1">
      <alignment/>
    </xf>
    <xf numFmtId="9" fontId="3" fillId="2" borderId="14" xfId="0" applyNumberFormat="1" applyFont="1" applyFill="1" applyBorder="1" applyAlignment="1">
      <alignment/>
    </xf>
    <xf numFmtId="9" fontId="3" fillId="2" borderId="47" xfId="0" applyNumberFormat="1" applyFont="1" applyFill="1" applyBorder="1" applyAlignment="1">
      <alignment/>
    </xf>
    <xf numFmtId="9" fontId="3" fillId="2" borderId="37" xfId="0" applyNumberFormat="1" applyFont="1" applyFill="1" applyBorder="1" applyAlignment="1">
      <alignment/>
    </xf>
    <xf numFmtId="9" fontId="3" fillId="2" borderId="1" xfId="0" applyNumberFormat="1" applyFont="1" applyFill="1" applyBorder="1" applyAlignment="1">
      <alignment/>
    </xf>
    <xf numFmtId="9" fontId="3" fillId="2" borderId="13" xfId="0" applyNumberFormat="1" applyFont="1" applyFill="1" applyBorder="1" applyAlignment="1">
      <alignment/>
    </xf>
    <xf numFmtId="9" fontId="3" fillId="2" borderId="29" xfId="0" applyNumberFormat="1" applyFont="1" applyFill="1" applyBorder="1" applyAlignment="1">
      <alignment/>
    </xf>
    <xf numFmtId="0" fontId="3" fillId="2" borderId="29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/>
    </xf>
    <xf numFmtId="1" fontId="3" fillId="2" borderId="5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 wrapText="1"/>
    </xf>
    <xf numFmtId="3" fontId="8" fillId="2" borderId="37" xfId="0" applyNumberFormat="1" applyFont="1" applyFill="1" applyBorder="1" applyAlignment="1">
      <alignment horizontal="center" vertical="center"/>
    </xf>
    <xf numFmtId="3" fontId="8" fillId="2" borderId="29" xfId="0" applyNumberFormat="1" applyFont="1" applyFill="1" applyBorder="1" applyAlignment="1">
      <alignment horizontal="center" vertical="center"/>
    </xf>
    <xf numFmtId="165" fontId="8" fillId="2" borderId="43" xfId="0" applyNumberFormat="1" applyFont="1" applyFill="1" applyBorder="1" applyAlignment="1">
      <alignment horizontal="center" vertical="center" wrapText="1"/>
    </xf>
    <xf numFmtId="3" fontId="8" fillId="2" borderId="23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8" fillId="2" borderId="1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 wrapText="1"/>
    </xf>
    <xf numFmtId="3" fontId="8" fillId="2" borderId="4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2" borderId="13" xfId="0" applyNumberFormat="1" applyFont="1" applyFill="1" applyBorder="1" applyAlignment="1">
      <alignment horizontal="center" vertical="center"/>
    </xf>
    <xf numFmtId="3" fontId="8" fillId="2" borderId="22" xfId="0" applyNumberFormat="1" applyFont="1" applyFill="1" applyBorder="1" applyAlignment="1">
      <alignment horizontal="center" vertical="center"/>
    </xf>
    <xf numFmtId="165" fontId="8" fillId="0" borderId="29" xfId="0" applyNumberFormat="1" applyFont="1" applyFill="1" applyBorder="1" applyAlignment="1">
      <alignment horizontal="left" vertical="top"/>
    </xf>
    <xf numFmtId="0" fontId="9" fillId="0" borderId="18" xfId="0" applyFont="1" applyBorder="1" applyAlignment="1">
      <alignment horizontal="left"/>
    </xf>
    <xf numFmtId="0" fontId="9" fillId="0" borderId="33" xfId="0" applyFont="1" applyBorder="1" applyAlignment="1">
      <alignment horizontal="center"/>
    </xf>
    <xf numFmtId="173" fontId="8" fillId="0" borderId="30" xfId="15" applyNumberFormat="1" applyFont="1" applyFill="1" applyBorder="1" applyAlignment="1">
      <alignment horizontal="left" vertical="top"/>
    </xf>
    <xf numFmtId="164" fontId="8" fillId="0" borderId="29" xfId="21" applyNumberFormat="1" applyFont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173" fontId="8" fillId="0" borderId="13" xfId="15" applyNumberFormat="1" applyFont="1" applyBorder="1" applyAlignment="1">
      <alignment/>
    </xf>
    <xf numFmtId="173" fontId="8" fillId="0" borderId="1" xfId="15" applyNumberFormat="1" applyFont="1" applyBorder="1" applyAlignment="1">
      <alignment/>
    </xf>
    <xf numFmtId="0" fontId="9" fillId="0" borderId="6" xfId="0" applyFont="1" applyBorder="1" applyAlignment="1">
      <alignment horizontal="center" wrapText="1"/>
    </xf>
    <xf numFmtId="165" fontId="8" fillId="0" borderId="33" xfId="0" applyNumberFormat="1" applyFont="1" applyFill="1" applyBorder="1" applyAlignment="1">
      <alignment horizontal="center" vertical="top" wrapText="1"/>
    </xf>
    <xf numFmtId="165" fontId="9" fillId="0" borderId="18" xfId="0" applyNumberFormat="1" applyFont="1" applyFill="1" applyBorder="1" applyAlignment="1">
      <alignment horizontal="right" vertical="top" wrapText="1"/>
    </xf>
    <xf numFmtId="0" fontId="8" fillId="0" borderId="33" xfId="0" applyFont="1" applyBorder="1" applyAlignment="1">
      <alignment/>
    </xf>
    <xf numFmtId="173" fontId="9" fillId="0" borderId="9" xfId="15" applyNumberFormat="1" applyFont="1" applyBorder="1" applyAlignment="1">
      <alignment/>
    </xf>
    <xf numFmtId="173" fontId="9" fillId="0" borderId="34" xfId="15" applyNumberFormat="1" applyFont="1" applyBorder="1" applyAlignment="1">
      <alignment/>
    </xf>
    <xf numFmtId="173" fontId="9" fillId="0" borderId="18" xfId="15" applyNumberFormat="1" applyFont="1" applyBorder="1" applyAlignment="1">
      <alignment/>
    </xf>
    <xf numFmtId="173" fontId="9" fillId="0" borderId="19" xfId="15" applyNumberFormat="1" applyFont="1" applyBorder="1" applyAlignment="1">
      <alignment/>
    </xf>
    <xf numFmtId="0" fontId="9" fillId="0" borderId="18" xfId="0" applyFont="1" applyFill="1" applyBorder="1" applyAlignment="1">
      <alignment/>
    </xf>
    <xf numFmtId="171" fontId="8" fillId="0" borderId="23" xfId="0" applyNumberFormat="1" applyFont="1" applyFill="1" applyBorder="1" applyAlignment="1">
      <alignment/>
    </xf>
    <xf numFmtId="171" fontId="8" fillId="2" borderId="37" xfId="0" applyNumberFormat="1" applyFont="1" applyFill="1" applyBorder="1" applyAlignment="1">
      <alignment/>
    </xf>
    <xf numFmtId="0" fontId="9" fillId="0" borderId="9" xfId="0" applyFont="1" applyFill="1" applyBorder="1" applyAlignment="1">
      <alignment/>
    </xf>
    <xf numFmtId="165" fontId="8" fillId="2" borderId="14" xfId="0" applyNumberFormat="1" applyFont="1" applyFill="1" applyBorder="1" applyAlignment="1">
      <alignment/>
    </xf>
    <xf numFmtId="165" fontId="8" fillId="0" borderId="6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8" fillId="2" borderId="47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171" fontId="8" fillId="2" borderId="47" xfId="0" applyNumberFormat="1" applyFont="1" applyFill="1" applyBorder="1" applyAlignment="1">
      <alignment/>
    </xf>
    <xf numFmtId="171" fontId="8" fillId="0" borderId="22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171" fontId="0" fillId="0" borderId="26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9" fontId="8" fillId="0" borderId="28" xfId="0" applyNumberFormat="1" applyFont="1" applyBorder="1" applyAlignment="1">
      <alignment horizontal="center"/>
    </xf>
    <xf numFmtId="3" fontId="8" fillId="0" borderId="28" xfId="0" applyNumberFormat="1" applyFont="1" applyBorder="1" applyAlignment="1">
      <alignment horizontal="center"/>
    </xf>
    <xf numFmtId="0" fontId="1" fillId="0" borderId="32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top" wrapText="1"/>
    </xf>
    <xf numFmtId="171" fontId="0" fillId="0" borderId="2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20" xfId="0" applyFill="1" applyBorder="1" applyAlignment="1">
      <alignment horizontal="center" vertical="top" wrapText="1"/>
    </xf>
    <xf numFmtId="171" fontId="0" fillId="2" borderId="20" xfId="0" applyNumberFormat="1" applyFill="1" applyBorder="1" applyAlignment="1">
      <alignment horizontal="center" vertical="top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 vertical="top" wrapText="1"/>
    </xf>
    <xf numFmtId="171" fontId="0" fillId="2" borderId="2" xfId="0" applyNumberFormat="1" applyFill="1" applyBorder="1" applyAlignment="1">
      <alignment horizontal="center" vertical="top" wrapText="1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171" fontId="0" fillId="2" borderId="7" xfId="0" applyNumberFormat="1" applyFill="1" applyBorder="1" applyAlignment="1">
      <alignment horizontal="center" vertical="top" wrapText="1"/>
    </xf>
    <xf numFmtId="3" fontId="0" fillId="2" borderId="21" xfId="0" applyNumberFormat="1" applyFill="1" applyBorder="1" applyAlignment="1">
      <alignment horizontal="center" vertical="top" wrapText="1"/>
    </xf>
    <xf numFmtId="3" fontId="0" fillId="0" borderId="5" xfId="0" applyNumberFormat="1" applyBorder="1" applyAlignment="1">
      <alignment horizontal="center" vertical="top" wrapText="1"/>
    </xf>
    <xf numFmtId="3" fontId="0" fillId="2" borderId="5" xfId="0" applyNumberFormat="1" applyFill="1" applyBorder="1" applyAlignment="1">
      <alignment horizontal="center" vertical="top" wrapText="1"/>
    </xf>
    <xf numFmtId="3" fontId="0" fillId="2" borderId="8" xfId="0" applyNumberFormat="1" applyFill="1" applyBorder="1" applyAlignment="1">
      <alignment horizontal="center" vertical="top" wrapText="1"/>
    </xf>
    <xf numFmtId="171" fontId="8" fillId="0" borderId="0" xfId="0" applyNumberFormat="1" applyFont="1" applyAlignment="1">
      <alignment/>
    </xf>
    <xf numFmtId="1" fontId="0" fillId="2" borderId="20" xfId="0" applyNumberFormat="1" applyFill="1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 wrapText="1"/>
    </xf>
    <xf numFmtId="1" fontId="0" fillId="2" borderId="2" xfId="0" applyNumberFormat="1" applyFill="1" applyBorder="1" applyAlignment="1">
      <alignment horizontal="center" vertical="top" wrapText="1"/>
    </xf>
    <xf numFmtId="1" fontId="0" fillId="2" borderId="7" xfId="0" applyNumberFormat="1" applyFill="1" applyBorder="1" applyAlignment="1">
      <alignment horizontal="center" vertical="top" wrapText="1"/>
    </xf>
    <xf numFmtId="1" fontId="8" fillId="0" borderId="0" xfId="0" applyNumberFormat="1" applyFont="1" applyAlignment="1">
      <alignment/>
    </xf>
    <xf numFmtId="0" fontId="2" fillId="0" borderId="9" xfId="0" applyFont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2" fillId="0" borderId="19" xfId="0" applyFont="1" applyBorder="1" applyAlignment="1">
      <alignment horizontal="center" wrapText="1"/>
    </xf>
    <xf numFmtId="0" fontId="0" fillId="0" borderId="13" xfId="0" applyBorder="1" applyAlignment="1">
      <alignment vertical="top" wrapText="1"/>
    </xf>
    <xf numFmtId="1" fontId="2" fillId="0" borderId="19" xfId="0" applyNumberFormat="1" applyFont="1" applyBorder="1" applyAlignment="1">
      <alignment horizontal="center" wrapText="1"/>
    </xf>
    <xf numFmtId="1" fontId="0" fillId="0" borderId="13" xfId="0" applyNumberFormat="1" applyBorder="1" applyAlignment="1">
      <alignment vertical="top" wrapText="1"/>
    </xf>
    <xf numFmtId="0" fontId="2" fillId="0" borderId="19" xfId="0" applyFont="1" applyBorder="1" applyAlignment="1">
      <alignment horizontal="center" wrapText="1"/>
    </xf>
    <xf numFmtId="171" fontId="0" fillId="0" borderId="13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1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1" fontId="0" fillId="2" borderId="13" xfId="0" applyNumberFormat="1" applyFill="1" applyBorder="1" applyAlignment="1">
      <alignment vertical="top" wrapText="1"/>
    </xf>
    <xf numFmtId="171" fontId="0" fillId="2" borderId="1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9" xfId="0" applyBorder="1" applyAlignment="1">
      <alignment/>
    </xf>
    <xf numFmtId="1" fontId="0" fillId="0" borderId="19" xfId="0" applyNumberFormat="1" applyBorder="1" applyAlignment="1">
      <alignment/>
    </xf>
    <xf numFmtId="171" fontId="0" fillId="0" borderId="19" xfId="0" applyNumberFormat="1" applyBorder="1" applyAlignment="1">
      <alignment horizontal="center"/>
    </xf>
    <xf numFmtId="3" fontId="0" fillId="2" borderId="29" xfId="0" applyNumberFormat="1" applyFill="1" applyBorder="1" applyAlignment="1">
      <alignment horizontal="center" vertical="top" wrapText="1"/>
    </xf>
    <xf numFmtId="3" fontId="0" fillId="0" borderId="29" xfId="0" applyNumberFormat="1" applyBorder="1" applyAlignment="1">
      <alignment horizontal="center" vertical="top" wrapText="1"/>
    </xf>
    <xf numFmtId="3" fontId="0" fillId="0" borderId="18" xfId="0" applyNumberFormat="1" applyBorder="1" applyAlignment="1">
      <alignment horizontal="center" vertical="top" wrapText="1"/>
    </xf>
    <xf numFmtId="0" fontId="8" fillId="0" borderId="48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3" fontId="8" fillId="0" borderId="38" xfId="0" applyNumberFormat="1" applyFont="1" applyBorder="1" applyAlignment="1">
      <alignment horizontal="center"/>
    </xf>
    <xf numFmtId="0" fontId="8" fillId="0" borderId="49" xfId="0" applyFont="1" applyBorder="1" applyAlignment="1">
      <alignment/>
    </xf>
    <xf numFmtId="3" fontId="8" fillId="0" borderId="50" xfId="0" applyNumberFormat="1" applyFont="1" applyBorder="1" applyAlignment="1">
      <alignment horizontal="center"/>
    </xf>
    <xf numFmtId="3" fontId="8" fillId="0" borderId="51" xfId="0" applyNumberFormat="1" applyFont="1" applyBorder="1" applyAlignment="1">
      <alignment horizontal="center"/>
    </xf>
    <xf numFmtId="9" fontId="8" fillId="0" borderId="51" xfId="0" applyNumberFormat="1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9" fillId="0" borderId="12" xfId="0" applyFont="1" applyBorder="1" applyAlignment="1">
      <alignment/>
    </xf>
    <xf numFmtId="3" fontId="9" fillId="0" borderId="9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9" fontId="9" fillId="0" borderId="10" xfId="0" applyNumberFormat="1" applyFont="1" applyBorder="1" applyAlignment="1">
      <alignment horizontal="center"/>
    </xf>
    <xf numFmtId="0" fontId="8" fillId="0" borderId="53" xfId="0" applyFont="1" applyBorder="1" applyAlignment="1">
      <alignment/>
    </xf>
    <xf numFmtId="0" fontId="8" fillId="0" borderId="5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9" fontId="8" fillId="0" borderId="26" xfId="0" applyNumberFormat="1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171" fontId="9" fillId="0" borderId="11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165" fontId="3" fillId="2" borderId="14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/>
    </xf>
    <xf numFmtId="0" fontId="3" fillId="2" borderId="47" xfId="0" applyFont="1" applyFill="1" applyBorder="1" applyAlignment="1">
      <alignment/>
    </xf>
    <xf numFmtId="1" fontId="3" fillId="2" borderId="47" xfId="0" applyNumberFormat="1" applyFont="1" applyFill="1" applyBorder="1" applyAlignment="1">
      <alignment horizontal="center" vertical="center"/>
    </xf>
    <xf numFmtId="1" fontId="3" fillId="2" borderId="37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1" fontId="3" fillId="2" borderId="13" xfId="0" applyNumberFormat="1" applyFont="1" applyFill="1" applyBorder="1" applyAlignment="1">
      <alignment horizontal="center" vertical="center"/>
    </xf>
    <xf numFmtId="1" fontId="3" fillId="2" borderId="29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1" fontId="3" fillId="2" borderId="22" xfId="0" applyNumberFormat="1" applyFont="1" applyFill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/>
    </xf>
    <xf numFmtId="3" fontId="8" fillId="2" borderId="5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wrapText="1"/>
    </xf>
    <xf numFmtId="10" fontId="8" fillId="2" borderId="13" xfId="0" applyNumberFormat="1" applyFont="1" applyFill="1" applyBorder="1" applyAlignment="1">
      <alignment horizontal="center" wrapText="1"/>
    </xf>
    <xf numFmtId="10" fontId="8" fillId="0" borderId="13" xfId="0" applyNumberFormat="1" applyFont="1" applyFill="1" applyBorder="1" applyAlignment="1">
      <alignment horizontal="center" wrapText="1"/>
    </xf>
    <xf numFmtId="9" fontId="9" fillId="0" borderId="19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9" fontId="8" fillId="2" borderId="5" xfId="0" applyNumberFormat="1" applyFont="1" applyFill="1" applyBorder="1" applyAlignment="1">
      <alignment horizontal="center"/>
    </xf>
    <xf numFmtId="9" fontId="9" fillId="0" borderId="11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9" fontId="8" fillId="2" borderId="13" xfId="0" applyNumberFormat="1" applyFont="1" applyFill="1" applyBorder="1" applyAlignment="1">
      <alignment horizontal="center" wrapText="1"/>
    </xf>
    <xf numFmtId="9" fontId="8" fillId="0" borderId="13" xfId="0" applyNumberFormat="1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165" fontId="1" fillId="0" borderId="0" xfId="0" applyNumberFormat="1" applyFont="1" applyFill="1" applyBorder="1" applyAlignment="1">
      <alignment horizontal="left" vertical="center"/>
    </xf>
    <xf numFmtId="165" fontId="8" fillId="2" borderId="29" xfId="0" applyNumberFormat="1" applyFont="1" applyFill="1" applyBorder="1" applyAlignment="1">
      <alignment horizontal="left" vertical="top"/>
    </xf>
    <xf numFmtId="173" fontId="8" fillId="2" borderId="30" xfId="15" applyNumberFormat="1" applyFont="1" applyFill="1" applyBorder="1" applyAlignment="1">
      <alignment horizontal="left" vertical="top"/>
    </xf>
    <xf numFmtId="173" fontId="8" fillId="2" borderId="1" xfId="15" applyNumberFormat="1" applyFont="1" applyFill="1" applyBorder="1" applyAlignment="1">
      <alignment/>
    </xf>
    <xf numFmtId="164" fontId="8" fillId="2" borderId="0" xfId="21" applyNumberFormat="1" applyFont="1" applyFill="1" applyBorder="1" applyAlignment="1">
      <alignment/>
    </xf>
    <xf numFmtId="164" fontId="8" fillId="2" borderId="29" xfId="21" applyNumberFormat="1" applyFont="1" applyFill="1" applyBorder="1" applyAlignment="1">
      <alignment/>
    </xf>
    <xf numFmtId="173" fontId="8" fillId="2" borderId="13" xfId="15" applyNumberFormat="1" applyFont="1" applyFill="1" applyBorder="1" applyAlignment="1">
      <alignment/>
    </xf>
    <xf numFmtId="0" fontId="9" fillId="0" borderId="9" xfId="0" applyFont="1" applyBorder="1" applyAlignment="1">
      <alignment/>
    </xf>
    <xf numFmtId="165" fontId="8" fillId="2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5" fontId="8" fillId="2" borderId="6" xfId="0" applyNumberFormat="1" applyFont="1" applyFill="1" applyBorder="1" applyAlignment="1">
      <alignment horizontal="center" vertical="top" wrapText="1"/>
    </xf>
    <xf numFmtId="3" fontId="2" fillId="0" borderId="37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9" fontId="0" fillId="0" borderId="23" xfId="0" applyNumberFormat="1" applyFill="1" applyBorder="1" applyAlignment="1">
      <alignment/>
    </xf>
    <xf numFmtId="165" fontId="8" fillId="0" borderId="28" xfId="0" applyNumberFormat="1" applyFont="1" applyFill="1" applyBorder="1" applyAlignment="1">
      <alignment/>
    </xf>
    <xf numFmtId="171" fontId="8" fillId="0" borderId="28" xfId="0" applyNumberFormat="1" applyFont="1" applyFill="1" applyBorder="1" applyAlignment="1">
      <alignment/>
    </xf>
    <xf numFmtId="0" fontId="8" fillId="0" borderId="28" xfId="0" applyFont="1" applyFill="1" applyBorder="1" applyAlignment="1">
      <alignment wrapText="1"/>
    </xf>
    <xf numFmtId="165" fontId="8" fillId="0" borderId="26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  <xf numFmtId="171" fontId="8" fillId="0" borderId="26" xfId="0" applyNumberFormat="1" applyFont="1" applyFill="1" applyBorder="1" applyAlignment="1">
      <alignment/>
    </xf>
    <xf numFmtId="0" fontId="9" fillId="2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 wrapText="1"/>
    </xf>
    <xf numFmtId="171" fontId="0" fillId="0" borderId="28" xfId="0" applyNumberFormat="1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9" fontId="0" fillId="0" borderId="28" xfId="0" applyNumberFormat="1" applyFont="1" applyBorder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 wrapText="1"/>
    </xf>
    <xf numFmtId="171" fontId="0" fillId="0" borderId="28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/>
    </xf>
    <xf numFmtId="3" fontId="3" fillId="0" borderId="28" xfId="0" applyNumberFormat="1" applyFont="1" applyFill="1" applyBorder="1" applyAlignment="1">
      <alignment horizontal="right" wrapText="1"/>
    </xf>
    <xf numFmtId="9" fontId="3" fillId="0" borderId="28" xfId="0" applyNumberFormat="1" applyFont="1" applyFill="1" applyBorder="1" applyAlignment="1">
      <alignment horizontal="right"/>
    </xf>
    <xf numFmtId="165" fontId="3" fillId="0" borderId="28" xfId="0" applyNumberFormat="1" applyFont="1" applyFill="1" applyBorder="1" applyAlignment="1">
      <alignment/>
    </xf>
    <xf numFmtId="1" fontId="3" fillId="0" borderId="28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  <xf numFmtId="3" fontId="3" fillId="0" borderId="26" xfId="0" applyNumberFormat="1" applyFont="1" applyFill="1" applyBorder="1" applyAlignment="1">
      <alignment horizontal="right" wrapText="1"/>
    </xf>
    <xf numFmtId="9" fontId="3" fillId="0" borderId="26" xfId="0" applyNumberFormat="1" applyFont="1" applyFill="1" applyBorder="1" applyAlignment="1">
      <alignment horizontal="right"/>
    </xf>
    <xf numFmtId="165" fontId="3" fillId="0" borderId="26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0" fontId="5" fillId="2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9" fontId="8" fillId="0" borderId="28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/>
    </xf>
    <xf numFmtId="0" fontId="8" fillId="2" borderId="27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 wrapText="1"/>
    </xf>
    <xf numFmtId="9" fontId="8" fillId="0" borderId="26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3" fontId="8" fillId="0" borderId="2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/>
    </xf>
    <xf numFmtId="165" fontId="8" fillId="0" borderId="28" xfId="0" applyNumberFormat="1" applyFont="1" applyFill="1" applyBorder="1" applyAlignment="1">
      <alignment/>
    </xf>
    <xf numFmtId="165" fontId="8" fillId="0" borderId="26" xfId="0" applyNumberFormat="1" applyFont="1" applyFill="1" applyBorder="1" applyAlignment="1">
      <alignment/>
    </xf>
    <xf numFmtId="9" fontId="0" fillId="0" borderId="28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3" fontId="0" fillId="0" borderId="28" xfId="0" applyNumberFormat="1" applyFont="1" applyFill="1" applyBorder="1" applyAlignment="1">
      <alignment horizontal="center"/>
    </xf>
    <xf numFmtId="175" fontId="9" fillId="0" borderId="10" xfId="0" applyNumberFormat="1" applyFont="1" applyBorder="1" applyAlignment="1">
      <alignment/>
    </xf>
    <xf numFmtId="175" fontId="9" fillId="0" borderId="11" xfId="0" applyNumberFormat="1" applyFont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4" xfId="0" applyFill="1" applyBorder="1" applyAlignment="1">
      <alignment/>
    </xf>
    <xf numFmtId="0" fontId="2" fillId="0" borderId="7" xfId="0" applyFont="1" applyFill="1" applyBorder="1" applyAlignment="1">
      <alignment horizontal="center" vertical="center" wrapText="1"/>
    </xf>
    <xf numFmtId="175" fontId="8" fillId="0" borderId="28" xfId="0" applyNumberFormat="1" applyFont="1" applyFill="1" applyBorder="1" applyAlignment="1">
      <alignment/>
    </xf>
    <xf numFmtId="165" fontId="0" fillId="0" borderId="26" xfId="0" applyNumberFormat="1" applyFont="1" applyFill="1" applyBorder="1" applyAlignment="1">
      <alignment horizontal="center" vertical="center"/>
    </xf>
    <xf numFmtId="165" fontId="0" fillId="0" borderId="28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2" borderId="30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43" xfId="0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/>
    </xf>
    <xf numFmtId="0" fontId="2" fillId="0" borderId="56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8" xfId="0" applyFill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2" fillId="0" borderId="3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0" fontId="5" fillId="0" borderId="16" xfId="0" applyNumberFormat="1" applyFont="1" applyBorder="1" applyAlignment="1">
      <alignment horizontal="center"/>
    </xf>
    <xf numFmtId="10" fontId="5" fillId="0" borderId="1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5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44" fontId="9" fillId="0" borderId="14" xfId="0" applyNumberFormat="1" applyFont="1" applyBorder="1" applyAlignment="1">
      <alignment horizontal="center"/>
    </xf>
    <xf numFmtId="44" fontId="9" fillId="0" borderId="1" xfId="0" applyNumberFormat="1" applyFont="1" applyBorder="1" applyAlignment="1">
      <alignment horizontal="center"/>
    </xf>
    <xf numFmtId="44" fontId="9" fillId="0" borderId="6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0" fillId="2" borderId="28" xfId="0" applyFont="1" applyFill="1" applyBorder="1" applyAlignment="1">
      <alignment horizontal="center" textRotation="90" wrapText="1"/>
    </xf>
    <xf numFmtId="0" fontId="0" fillId="2" borderId="27" xfId="0" applyFont="1" applyFill="1" applyBorder="1" applyAlignment="1">
      <alignment horizontal="center" textRotation="90" wrapText="1"/>
    </xf>
    <xf numFmtId="0" fontId="0" fillId="0" borderId="28" xfId="0" applyFont="1" applyFill="1" applyBorder="1" applyAlignment="1">
      <alignment horizontal="right"/>
    </xf>
    <xf numFmtId="0" fontId="0" fillId="2" borderId="28" xfId="0" applyFont="1" applyFill="1" applyBorder="1" applyAlignment="1">
      <alignment horizontal="center" textRotation="90" wrapText="1"/>
    </xf>
    <xf numFmtId="0" fontId="0" fillId="2" borderId="27" xfId="0" applyFont="1" applyFill="1" applyBorder="1" applyAlignment="1">
      <alignment horizontal="center" textRotation="90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60" xfId="0" applyFont="1" applyFill="1" applyBorder="1" applyAlignment="1">
      <alignment horizontal="center"/>
    </xf>
    <xf numFmtId="0" fontId="9" fillId="2" borderId="61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10" fontId="9" fillId="2" borderId="61" xfId="0" applyNumberFormat="1" applyFont="1" applyFill="1" applyBorder="1" applyAlignment="1">
      <alignment horizontal="center"/>
    </xf>
    <xf numFmtId="10" fontId="9" fillId="2" borderId="63" xfId="0" applyNumberFormat="1" applyFont="1" applyFill="1" applyBorder="1" applyAlignment="1">
      <alignment horizontal="center"/>
    </xf>
    <xf numFmtId="10" fontId="9" fillId="2" borderId="62" xfId="0" applyNumberFormat="1" applyFont="1" applyFill="1" applyBorder="1" applyAlignment="1">
      <alignment horizontal="center"/>
    </xf>
    <xf numFmtId="171" fontId="0" fillId="0" borderId="28" xfId="0" applyNumberFormat="1" applyFont="1" applyFill="1" applyBorder="1" applyAlignment="1">
      <alignment horizontal="center" vertical="center" wrapText="1"/>
    </xf>
    <xf numFmtId="174" fontId="0" fillId="0" borderId="28" xfId="0" applyNumberFormat="1" applyFont="1" applyFill="1" applyBorder="1" applyAlignment="1">
      <alignment horizontal="center" vertical="center" wrapText="1"/>
    </xf>
    <xf numFmtId="171" fontId="0" fillId="0" borderId="28" xfId="0" applyNumberFormat="1" applyFont="1" applyFill="1" applyBorder="1" applyAlignment="1">
      <alignment horizontal="center" vertical="center" wrapText="1"/>
    </xf>
    <xf numFmtId="1" fontId="0" fillId="0" borderId="28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/>
    </xf>
    <xf numFmtId="0" fontId="9" fillId="0" borderId="14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/>
    </xf>
    <xf numFmtId="0" fontId="0" fillId="2" borderId="27" xfId="0" applyFill="1" applyBorder="1" applyAlignment="1">
      <alignment/>
    </xf>
    <xf numFmtId="10" fontId="5" fillId="2" borderId="28" xfId="0" applyNumberFormat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44" fontId="8" fillId="2" borderId="28" xfId="0" applyNumberFormat="1" applyFont="1" applyFill="1" applyBorder="1" applyAlignment="1">
      <alignment horizontal="center"/>
    </xf>
    <xf numFmtId="44" fontId="8" fillId="2" borderId="27" xfId="0" applyNumberFormat="1" applyFont="1" applyFill="1" applyBorder="1" applyAlignment="1">
      <alignment horizontal="center"/>
    </xf>
    <xf numFmtId="9" fontId="8" fillId="0" borderId="64" xfId="0" applyNumberFormat="1" applyFont="1" applyFill="1" applyBorder="1" applyAlignment="1">
      <alignment horizontal="left"/>
    </xf>
    <xf numFmtId="9" fontId="8" fillId="0" borderId="65" xfId="0" applyNumberFormat="1" applyFont="1" applyFill="1" applyBorder="1" applyAlignment="1">
      <alignment horizontal="left"/>
    </xf>
    <xf numFmtId="9" fontId="8" fillId="0" borderId="61" xfId="0" applyNumberFormat="1" applyFont="1" applyFill="1" applyBorder="1" applyAlignment="1">
      <alignment horizontal="left"/>
    </xf>
    <xf numFmtId="9" fontId="8" fillId="0" borderId="62" xfId="0" applyNumberFormat="1" applyFont="1" applyFill="1" applyBorder="1" applyAlignment="1">
      <alignment horizontal="left"/>
    </xf>
    <xf numFmtId="10" fontId="8" fillId="2" borderId="28" xfId="0" applyNumberFormat="1" applyFont="1" applyFill="1" applyBorder="1" applyAlignment="1">
      <alignment horizontal="center"/>
    </xf>
    <xf numFmtId="165" fontId="0" fillId="0" borderId="51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 wrapText="1"/>
    </xf>
    <xf numFmtId="165" fontId="0" fillId="0" borderId="26" xfId="0" applyNumberFormat="1" applyFont="1" applyFill="1" applyBorder="1" applyAlignment="1">
      <alignment horizontal="center" vertical="center" wrapText="1"/>
    </xf>
    <xf numFmtId="0" fontId="0" fillId="2" borderId="51" xfId="0" applyFont="1" applyFill="1" applyBorder="1" applyAlignment="1">
      <alignment horizontal="center" wrapText="1"/>
    </xf>
    <xf numFmtId="0" fontId="0" fillId="2" borderId="60" xfId="0" applyFont="1" applyFill="1" applyBorder="1" applyAlignment="1">
      <alignment horizontal="center" wrapText="1"/>
    </xf>
    <xf numFmtId="0" fontId="0" fillId="2" borderId="28" xfId="0" applyFont="1" applyFill="1" applyBorder="1" applyAlignment="1">
      <alignment horizontal="center" wrapText="1"/>
    </xf>
    <xf numFmtId="0" fontId="0" fillId="2" borderId="27" xfId="0" applyFont="1" applyFill="1" applyBorder="1" applyAlignment="1">
      <alignment horizontal="center" wrapText="1"/>
    </xf>
    <xf numFmtId="0" fontId="0" fillId="2" borderId="28" xfId="0" applyFont="1" applyFill="1" applyBorder="1" applyAlignment="1">
      <alignment horizontal="center" wrapText="1"/>
    </xf>
    <xf numFmtId="0" fontId="0" fillId="2" borderId="27" xfId="0" applyFont="1" applyFill="1" applyBorder="1" applyAlignment="1">
      <alignment horizontal="center" wrapText="1"/>
    </xf>
    <xf numFmtId="0" fontId="0" fillId="2" borderId="51" xfId="0" applyFont="1" applyFill="1" applyBorder="1" applyAlignment="1">
      <alignment horizontal="center" wrapText="1"/>
    </xf>
    <xf numFmtId="0" fontId="0" fillId="2" borderId="60" xfId="0" applyFont="1" applyFill="1" applyBorder="1" applyAlignment="1">
      <alignment horizontal="center" wrapText="1"/>
    </xf>
    <xf numFmtId="165" fontId="0" fillId="0" borderId="28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38"/>
  <sheetViews>
    <sheetView tabSelected="1" workbookViewId="0" topLeftCell="A1">
      <selection activeCell="B38" sqref="B38"/>
    </sheetView>
  </sheetViews>
  <sheetFormatPr defaultColWidth="9.140625" defaultRowHeight="12.75"/>
  <cols>
    <col min="1" max="1" width="9.140625" style="26" customWidth="1"/>
    <col min="2" max="2" width="16.00390625" style="26" customWidth="1"/>
    <col min="3" max="6" width="9.140625" style="26" customWidth="1"/>
    <col min="7" max="7" width="25.7109375" style="26" customWidth="1"/>
    <col min="8" max="13" width="9.140625" style="26" customWidth="1"/>
    <col min="14" max="14" width="10.7109375" style="26" customWidth="1"/>
    <col min="15" max="15" width="9.140625" style="26" customWidth="1"/>
    <col min="16" max="16" width="25.140625" style="26" customWidth="1"/>
    <col min="17" max="17" width="10.421875" style="26" customWidth="1"/>
    <col min="18" max="18" width="9.7109375" style="26" customWidth="1"/>
    <col min="19" max="19" width="9.28125" style="26" customWidth="1"/>
    <col min="20" max="20" width="11.140625" style="26" customWidth="1"/>
    <col min="21" max="21" width="10.28125" style="26" customWidth="1"/>
    <col min="22" max="22" width="9.140625" style="26" customWidth="1"/>
    <col min="23" max="23" width="10.421875" style="26" customWidth="1"/>
    <col min="24" max="24" width="13.7109375" style="26" customWidth="1"/>
    <col min="25" max="25" width="13.421875" style="26" customWidth="1"/>
    <col min="26" max="26" width="8.421875" style="26" customWidth="1"/>
    <col min="27" max="27" width="9.140625" style="26" customWidth="1"/>
    <col min="28" max="28" width="11.57421875" style="26" customWidth="1"/>
    <col min="29" max="29" width="13.57421875" style="26" customWidth="1"/>
    <col min="30" max="31" width="9.140625" style="26" customWidth="1"/>
    <col min="32" max="32" width="10.28125" style="26" customWidth="1"/>
    <col min="33" max="33" width="13.8515625" style="26" bestFit="1" customWidth="1"/>
    <col min="34" max="34" width="10.421875" style="26" customWidth="1"/>
    <col min="35" max="35" width="4.57421875" style="26" bestFit="1" customWidth="1"/>
    <col min="36" max="36" width="5.28125" style="26" bestFit="1" customWidth="1"/>
    <col min="37" max="16384" width="9.140625" style="26" customWidth="1"/>
  </cols>
  <sheetData>
    <row r="2" spans="2:36" ht="15.75">
      <c r="B2" s="116" t="s">
        <v>197</v>
      </c>
      <c r="P2" s="116"/>
      <c r="AA2" s="124"/>
      <c r="AF2" s="117"/>
      <c r="AG2" s="117"/>
      <c r="AH2" s="117"/>
      <c r="AI2" s="117"/>
      <c r="AJ2" s="199"/>
    </row>
    <row r="3" spans="16:37" ht="12.75" customHeight="1" thickBot="1">
      <c r="P3" s="122"/>
      <c r="Q3" s="123"/>
      <c r="R3" s="123"/>
      <c r="S3" s="124"/>
      <c r="T3" s="125"/>
      <c r="U3" s="123"/>
      <c r="V3" s="123"/>
      <c r="W3" s="123"/>
      <c r="AF3" s="200"/>
      <c r="AG3" s="200"/>
      <c r="AH3" s="118"/>
      <c r="AI3" s="118"/>
      <c r="AJ3" s="199"/>
      <c r="AK3" s="117"/>
    </row>
    <row r="4" spans="2:37" ht="16.5" thickBot="1">
      <c r="B4" s="649" t="s">
        <v>1</v>
      </c>
      <c r="C4" s="651" t="s">
        <v>47</v>
      </c>
      <c r="D4" s="632" t="s">
        <v>48</v>
      </c>
      <c r="G4" s="116" t="s">
        <v>0</v>
      </c>
      <c r="P4" s="116" t="s">
        <v>26</v>
      </c>
      <c r="X4" s="201" t="s">
        <v>204</v>
      </c>
      <c r="Y4" s="138"/>
      <c r="Z4" s="139"/>
      <c r="AA4" s="139"/>
      <c r="AB4" s="139"/>
      <c r="AK4" s="117"/>
    </row>
    <row r="5" spans="2:28" ht="12.75" customHeight="1" thickBot="1">
      <c r="B5" s="650"/>
      <c r="C5" s="652"/>
      <c r="D5" s="655"/>
      <c r="G5" s="641"/>
      <c r="H5" s="636" t="s">
        <v>2</v>
      </c>
      <c r="I5" s="636" t="s">
        <v>3</v>
      </c>
      <c r="J5" s="636" t="s">
        <v>4</v>
      </c>
      <c r="K5" s="636" t="s">
        <v>5</v>
      </c>
      <c r="L5" s="636" t="s">
        <v>6</v>
      </c>
      <c r="M5" s="632" t="s">
        <v>7</v>
      </c>
      <c r="P5" s="641" t="s">
        <v>1</v>
      </c>
      <c r="Q5" s="636" t="s">
        <v>2</v>
      </c>
      <c r="R5" s="636" t="s">
        <v>4</v>
      </c>
      <c r="S5" s="636" t="s">
        <v>27</v>
      </c>
      <c r="T5" s="632" t="s">
        <v>28</v>
      </c>
      <c r="U5" s="634" t="s">
        <v>201</v>
      </c>
      <c r="X5" s="140" t="s">
        <v>160</v>
      </c>
      <c r="Y5" s="141"/>
      <c r="Z5" s="142"/>
      <c r="AA5" s="141"/>
      <c r="AB5" s="143"/>
    </row>
    <row r="6" spans="2:32" ht="13.5" thickBot="1">
      <c r="B6" s="24" t="s">
        <v>9</v>
      </c>
      <c r="C6" s="173">
        <f>N16</f>
        <v>5544.496864111498</v>
      </c>
      <c r="D6" s="93">
        <f>U7</f>
        <v>0.919436887555068</v>
      </c>
      <c r="G6" s="646"/>
      <c r="H6" s="643"/>
      <c r="I6" s="643"/>
      <c r="J6" s="643"/>
      <c r="K6" s="643"/>
      <c r="L6" s="643"/>
      <c r="M6" s="647"/>
      <c r="P6" s="642"/>
      <c r="Q6" s="614"/>
      <c r="R6" s="614"/>
      <c r="S6" s="614"/>
      <c r="T6" s="633"/>
      <c r="U6" s="635"/>
      <c r="X6" s="630" t="s">
        <v>206</v>
      </c>
      <c r="Y6" s="618" t="s">
        <v>205</v>
      </c>
      <c r="Z6" s="618" t="s">
        <v>161</v>
      </c>
      <c r="AA6" s="620" t="s">
        <v>48</v>
      </c>
      <c r="AB6" s="622" t="s">
        <v>162</v>
      </c>
      <c r="AC6" s="147" t="s">
        <v>166</v>
      </c>
      <c r="AD6" s="148"/>
      <c r="AE6" s="148"/>
      <c r="AF6" s="149"/>
    </row>
    <row r="7" spans="2:32" ht="13.5" thickBot="1">
      <c r="B7" s="1" t="s">
        <v>11</v>
      </c>
      <c r="C7" s="174">
        <f aca="true" t="shared" si="0" ref="C7:C16">N17</f>
        <v>4482.455981416957</v>
      </c>
      <c r="D7" s="94">
        <f>U8</f>
        <v>0.8403721922666595</v>
      </c>
      <c r="G7" s="1" t="s">
        <v>10</v>
      </c>
      <c r="H7" s="177">
        <v>0</v>
      </c>
      <c r="I7" s="177">
        <v>0</v>
      </c>
      <c r="J7" s="177">
        <v>600</v>
      </c>
      <c r="K7" s="177">
        <v>184</v>
      </c>
      <c r="L7" s="177">
        <v>431</v>
      </c>
      <c r="M7" s="178">
        <v>150</v>
      </c>
      <c r="P7" s="1" t="s">
        <v>9</v>
      </c>
      <c r="Q7" s="17">
        <v>0.81</v>
      </c>
      <c r="R7" s="18"/>
      <c r="S7" s="19">
        <v>0.95</v>
      </c>
      <c r="T7" s="20">
        <v>0.9</v>
      </c>
      <c r="U7" s="185">
        <f>(Q7*$Q$20+R7*$R$20+S7*$S$20+T7*$T$20)/(SUMIF(Q7:T7,"&gt;0",Q$20:T$20))</f>
        <v>0.919436887555068</v>
      </c>
      <c r="X7" s="631"/>
      <c r="Y7" s="619"/>
      <c r="Z7" s="619"/>
      <c r="AA7" s="621"/>
      <c r="AB7" s="623"/>
      <c r="AC7" s="133" t="s">
        <v>164</v>
      </c>
      <c r="AD7" s="111"/>
      <c r="AE7" s="150" t="s">
        <v>167</v>
      </c>
      <c r="AF7" s="151">
        <v>12</v>
      </c>
    </row>
    <row r="8" spans="2:32" ht="12.75">
      <c r="B8" s="1" t="s">
        <v>13</v>
      </c>
      <c r="C8" s="174">
        <f t="shared" si="0"/>
        <v>3677.4786171063142</v>
      </c>
      <c r="D8" s="94">
        <f>U9</f>
        <v>0.7816105403329625</v>
      </c>
      <c r="G8" s="1" t="s">
        <v>12</v>
      </c>
      <c r="H8" s="179">
        <v>1270</v>
      </c>
      <c r="I8" s="179">
        <v>5430</v>
      </c>
      <c r="J8" s="57">
        <v>0</v>
      </c>
      <c r="K8" s="57">
        <v>0</v>
      </c>
      <c r="L8" s="57">
        <v>0</v>
      </c>
      <c r="M8" s="120">
        <v>0</v>
      </c>
      <c r="P8" s="1" t="s">
        <v>11</v>
      </c>
      <c r="Q8" s="17">
        <v>0.68</v>
      </c>
      <c r="R8" s="18"/>
      <c r="S8" s="21">
        <v>0.81</v>
      </c>
      <c r="T8" s="22">
        <v>0.96</v>
      </c>
      <c r="U8" s="127">
        <f aca="true" t="shared" si="1" ref="U8:U19">(Q8*$Q$20+R8*$R$20+S8*$S$20+T8*$T$20)/(SUMIF(Q8:T8,"&gt;0",Q$20:T$20))</f>
        <v>0.8403721922666595</v>
      </c>
      <c r="X8" s="209" t="s">
        <v>207</v>
      </c>
      <c r="Y8" s="210">
        <v>12</v>
      </c>
      <c r="Z8" s="210">
        <v>7</v>
      </c>
      <c r="AA8" s="211">
        <f>IF(AB8="Day",IF(Y8&gt;=12,1,Y8/AF$7),IF(AB8="Night",0,IF(AB8="?",IF(Y8&gt;=18,1,Y8/AF$8),"")))</f>
        <v>0</v>
      </c>
      <c r="AB8" s="155" t="s">
        <v>163</v>
      </c>
      <c r="AC8" s="133" t="s">
        <v>168</v>
      </c>
      <c r="AD8" s="150"/>
      <c r="AE8" s="150" t="s">
        <v>167</v>
      </c>
      <c r="AF8" s="151">
        <v>18</v>
      </c>
    </row>
    <row r="9" spans="2:32" ht="12.75" customHeight="1" thickBot="1">
      <c r="B9" s="1" t="s">
        <v>15</v>
      </c>
      <c r="C9" s="174">
        <f t="shared" si="0"/>
        <v>3355.9109900090825</v>
      </c>
      <c r="D9" s="94">
        <f>U10</f>
        <v>0.34947188256217815</v>
      </c>
      <c r="G9" s="1" t="s">
        <v>14</v>
      </c>
      <c r="H9" s="2">
        <f>H8/10</f>
        <v>127</v>
      </c>
      <c r="I9" s="2">
        <f>I8/10</f>
        <v>543</v>
      </c>
      <c r="J9" s="3">
        <f>J7</f>
        <v>600</v>
      </c>
      <c r="K9" s="3">
        <f>K7</f>
        <v>184</v>
      </c>
      <c r="L9" s="3">
        <f>L7</f>
        <v>431</v>
      </c>
      <c r="M9" s="7">
        <f>M7</f>
        <v>150</v>
      </c>
      <c r="N9" s="119"/>
      <c r="P9" s="1" t="s">
        <v>13</v>
      </c>
      <c r="Q9" s="17">
        <v>0.74</v>
      </c>
      <c r="R9" s="18"/>
      <c r="S9" s="21">
        <v>0.77</v>
      </c>
      <c r="T9" s="22">
        <v>0.82</v>
      </c>
      <c r="U9" s="185">
        <f t="shared" si="1"/>
        <v>0.7816105403329625</v>
      </c>
      <c r="X9" s="203" t="s">
        <v>210</v>
      </c>
      <c r="Y9" s="23">
        <v>3.5</v>
      </c>
      <c r="Z9" s="23">
        <v>13</v>
      </c>
      <c r="AA9" s="145">
        <f aca="true" t="shared" si="2" ref="AA9:AA25">IF(AB9="Day",IF(Y9&gt;=12,1,Y9/AF$7),IF(AB9="Night",0,IF(AB9="?",IF(Y9&gt;=18,1,Y9/AF$8),"")))</f>
        <v>0.2916666666666667</v>
      </c>
      <c r="AB9" s="144" t="s">
        <v>164</v>
      </c>
      <c r="AC9" s="134" t="s">
        <v>163</v>
      </c>
      <c r="AD9" s="152"/>
      <c r="AE9" s="152" t="s">
        <v>167</v>
      </c>
      <c r="AF9" s="153" t="s">
        <v>169</v>
      </c>
    </row>
    <row r="10" spans="2:28" ht="13.5" thickBot="1">
      <c r="B10" s="1" t="s">
        <v>17</v>
      </c>
      <c r="C10" s="174">
        <f t="shared" si="0"/>
        <v>3525.559930313588</v>
      </c>
      <c r="D10" s="94">
        <f>U11</f>
        <v>0.7656622102276223</v>
      </c>
      <c r="G10" s="8" t="s">
        <v>16</v>
      </c>
      <c r="H10" s="9">
        <f aca="true" t="shared" si="3" ref="H10:M10">H9/SUM($H$9:$M$9)</f>
        <v>0.062407862407862405</v>
      </c>
      <c r="I10" s="9">
        <f t="shared" si="3"/>
        <v>0.26683046683046685</v>
      </c>
      <c r="J10" s="9">
        <f t="shared" si="3"/>
        <v>0.29484029484029484</v>
      </c>
      <c r="K10" s="9">
        <f t="shared" si="3"/>
        <v>0.09041769041769042</v>
      </c>
      <c r="L10" s="9">
        <f t="shared" si="3"/>
        <v>0.21179361179361178</v>
      </c>
      <c r="M10" s="10">
        <f t="shared" si="3"/>
        <v>0.07371007371007371</v>
      </c>
      <c r="P10" s="1" t="s">
        <v>15</v>
      </c>
      <c r="Q10" s="17">
        <v>0.67</v>
      </c>
      <c r="R10" s="18"/>
      <c r="S10" s="21"/>
      <c r="T10" s="22">
        <v>0.23</v>
      </c>
      <c r="U10" s="127">
        <f t="shared" si="1"/>
        <v>0.34947188256217815</v>
      </c>
      <c r="X10" s="208" t="s">
        <v>211</v>
      </c>
      <c r="Y10" s="205"/>
      <c r="Z10" s="205"/>
      <c r="AA10" s="206">
        <f t="shared" si="2"/>
      </c>
      <c r="AB10" s="207"/>
    </row>
    <row r="11" spans="2:28" ht="12.75">
      <c r="B11" s="1" t="s">
        <v>18</v>
      </c>
      <c r="C11" s="175">
        <f t="shared" si="0"/>
        <v>2728.677489177489</v>
      </c>
      <c r="D11" s="94">
        <f>D20</f>
        <v>0.6662216188257628</v>
      </c>
      <c r="P11" s="1" t="s">
        <v>17</v>
      </c>
      <c r="Q11" s="17">
        <v>0.81</v>
      </c>
      <c r="R11" s="18"/>
      <c r="S11" s="21">
        <v>0.75</v>
      </c>
      <c r="T11" s="22">
        <v>0.78</v>
      </c>
      <c r="U11" s="185">
        <f t="shared" si="1"/>
        <v>0.7656622102276223</v>
      </c>
      <c r="X11" s="202" t="s">
        <v>214</v>
      </c>
      <c r="Y11" s="23">
        <v>5</v>
      </c>
      <c r="Z11" s="23">
        <v>5</v>
      </c>
      <c r="AA11" s="145">
        <f t="shared" si="2"/>
        <v>0.2777777777777778</v>
      </c>
      <c r="AB11" s="144" t="s">
        <v>165</v>
      </c>
    </row>
    <row r="12" spans="2:28" ht="12.75">
      <c r="B12" s="1" t="s">
        <v>49</v>
      </c>
      <c r="C12" s="175">
        <f t="shared" si="0"/>
        <v>3425.1238805970147</v>
      </c>
      <c r="D12" s="94">
        <f>U13</f>
        <v>0.635</v>
      </c>
      <c r="P12" s="1" t="s">
        <v>18</v>
      </c>
      <c r="Q12" s="17"/>
      <c r="R12" s="18"/>
      <c r="S12" s="21"/>
      <c r="T12" s="22"/>
      <c r="U12" s="127">
        <f>U19</f>
        <v>0.6662216188257628</v>
      </c>
      <c r="X12" s="208" t="s">
        <v>215</v>
      </c>
      <c r="Y12" s="205">
        <v>17.5</v>
      </c>
      <c r="Z12" s="205">
        <v>26</v>
      </c>
      <c r="AA12" s="206">
        <f t="shared" si="2"/>
        <v>1</v>
      </c>
      <c r="AB12" s="207" t="s">
        <v>164</v>
      </c>
    </row>
    <row r="13" spans="2:28" ht="16.5" thickBot="1">
      <c r="B13" s="1" t="s">
        <v>20</v>
      </c>
      <c r="C13" s="174">
        <f t="shared" si="0"/>
        <v>4225.849196263871</v>
      </c>
      <c r="D13" s="94">
        <f>U14</f>
        <v>0.8446352773569024</v>
      </c>
      <c r="G13" s="116" t="s">
        <v>198</v>
      </c>
      <c r="P13" s="1" t="s">
        <v>19</v>
      </c>
      <c r="Q13" s="17">
        <v>0.635</v>
      </c>
      <c r="R13" s="18"/>
      <c r="S13" s="21"/>
      <c r="T13" s="22"/>
      <c r="U13" s="185">
        <f t="shared" si="1"/>
        <v>0.635</v>
      </c>
      <c r="X13" s="203" t="s">
        <v>216</v>
      </c>
      <c r="Y13" s="23">
        <v>3</v>
      </c>
      <c r="Z13" s="23">
        <v>3</v>
      </c>
      <c r="AA13" s="145">
        <f t="shared" si="2"/>
        <v>0.16666666666666666</v>
      </c>
      <c r="AB13" s="144" t="s">
        <v>165</v>
      </c>
    </row>
    <row r="14" spans="2:28" ht="12.75">
      <c r="B14" s="1" t="s">
        <v>21</v>
      </c>
      <c r="C14" s="174">
        <f t="shared" si="0"/>
        <v>3464.4046762589924</v>
      </c>
      <c r="D14" s="94">
        <f>U15</f>
        <v>0.7896801654747687</v>
      </c>
      <c r="G14" s="641" t="s">
        <v>1</v>
      </c>
      <c r="H14" s="636" t="s">
        <v>199</v>
      </c>
      <c r="I14" s="636" t="s">
        <v>3</v>
      </c>
      <c r="J14" s="636" t="s">
        <v>4</v>
      </c>
      <c r="K14" s="636" t="s">
        <v>5</v>
      </c>
      <c r="L14" s="636" t="s">
        <v>6</v>
      </c>
      <c r="M14" s="644" t="s">
        <v>7</v>
      </c>
      <c r="N14" s="634" t="s">
        <v>8</v>
      </c>
      <c r="P14" s="1" t="s">
        <v>20</v>
      </c>
      <c r="Q14" s="17">
        <v>0.88</v>
      </c>
      <c r="R14" s="18"/>
      <c r="S14" s="21">
        <v>0.82</v>
      </c>
      <c r="T14" s="22">
        <v>0.88</v>
      </c>
      <c r="U14" s="127">
        <f t="shared" si="1"/>
        <v>0.8446352773569024</v>
      </c>
      <c r="X14" s="204" t="s">
        <v>208</v>
      </c>
      <c r="Y14" s="205">
        <v>12</v>
      </c>
      <c r="Z14" s="205">
        <v>6</v>
      </c>
      <c r="AA14" s="206">
        <f t="shared" si="2"/>
        <v>0</v>
      </c>
      <c r="AB14" s="207" t="s">
        <v>163</v>
      </c>
    </row>
    <row r="15" spans="2:28" ht="13.5" thickBot="1">
      <c r="B15" s="1" t="s">
        <v>22</v>
      </c>
      <c r="C15" s="174">
        <f t="shared" si="0"/>
        <v>2301.6893571042683</v>
      </c>
      <c r="D15" s="94">
        <f>U16</f>
        <v>0.5244094785754665</v>
      </c>
      <c r="G15" s="646"/>
      <c r="H15" s="643"/>
      <c r="I15" s="643"/>
      <c r="J15" s="643"/>
      <c r="K15" s="643"/>
      <c r="L15" s="643"/>
      <c r="M15" s="645"/>
      <c r="N15" s="640"/>
      <c r="P15" s="1" t="s">
        <v>21</v>
      </c>
      <c r="Q15" s="17">
        <v>0.84</v>
      </c>
      <c r="R15" s="18"/>
      <c r="S15" s="21">
        <v>0.78</v>
      </c>
      <c r="T15" s="22">
        <v>0.79</v>
      </c>
      <c r="U15" s="185">
        <f t="shared" si="1"/>
        <v>0.7896801654747687</v>
      </c>
      <c r="X15" s="203" t="s">
        <v>212</v>
      </c>
      <c r="Y15" s="111">
        <v>3.5</v>
      </c>
      <c r="Z15" s="111">
        <v>12</v>
      </c>
      <c r="AA15" s="145">
        <f t="shared" si="2"/>
        <v>0.2916666666666667</v>
      </c>
      <c r="AB15" s="132" t="s">
        <v>164</v>
      </c>
    </row>
    <row r="16" spans="2:28" ht="12.75">
      <c r="B16" s="1" t="s">
        <v>23</v>
      </c>
      <c r="C16" s="175">
        <f t="shared" si="0"/>
        <v>3900</v>
      </c>
      <c r="D16" s="94">
        <f>U17</f>
        <v>0.68</v>
      </c>
      <c r="G16" s="1" t="s">
        <v>9</v>
      </c>
      <c r="H16" s="2">
        <v>5800</v>
      </c>
      <c r="I16" s="2">
        <v>5256</v>
      </c>
      <c r="J16" s="3"/>
      <c r="K16" s="2">
        <v>4635.625</v>
      </c>
      <c r="L16" s="2">
        <v>6390</v>
      </c>
      <c r="M16" s="4">
        <v>5058</v>
      </c>
      <c r="N16" s="5">
        <f>((H16*$H$29)+(I16*$I$29)+(J16*$J$29)+(K16*$K$29)+(L16*$L$29)+(M16*$M$29))/(SUMIF(H16:M16,"&gt;0",H$29:M$29))</f>
        <v>5544.496864111498</v>
      </c>
      <c r="P16" s="1" t="s">
        <v>22</v>
      </c>
      <c r="Q16" s="17">
        <v>0.42</v>
      </c>
      <c r="R16" s="18">
        <v>0.33</v>
      </c>
      <c r="S16" s="21">
        <v>0.63</v>
      </c>
      <c r="T16" s="22">
        <v>0.53</v>
      </c>
      <c r="U16" s="127">
        <f t="shared" si="1"/>
        <v>0.5244094785754665</v>
      </c>
      <c r="X16" s="208" t="s">
        <v>213</v>
      </c>
      <c r="Y16" s="205"/>
      <c r="Z16" s="205"/>
      <c r="AA16" s="206">
        <f t="shared" si="2"/>
      </c>
      <c r="AB16" s="207"/>
    </row>
    <row r="17" spans="2:28" ht="12.75">
      <c r="B17" s="1" t="s">
        <v>143</v>
      </c>
      <c r="C17" s="175">
        <f>H35</f>
        <v>986</v>
      </c>
      <c r="D17" s="94">
        <f>H36</f>
        <v>0.07</v>
      </c>
      <c r="G17" s="1" t="s">
        <v>11</v>
      </c>
      <c r="H17" s="2">
        <v>4600</v>
      </c>
      <c r="I17" s="2">
        <v>4599</v>
      </c>
      <c r="J17" s="3"/>
      <c r="K17" s="2">
        <v>4278.083333333333</v>
      </c>
      <c r="L17" s="2">
        <v>4450</v>
      </c>
      <c r="M17" s="4">
        <v>4305</v>
      </c>
      <c r="N17" s="5">
        <f aca="true" t="shared" si="4" ref="N17:N28">((H17*$H$29)+(I17*$I$29)+(J17*$J$29)+(K17*$K$29)+(L17*$L$29)+(M17*$M$29))/(SUMIF(H17:M17,"&gt;0",H$29:M$29))</f>
        <v>4482.455981416957</v>
      </c>
      <c r="P17" s="1" t="s">
        <v>23</v>
      </c>
      <c r="Q17" s="17">
        <v>0.68</v>
      </c>
      <c r="R17" s="18"/>
      <c r="S17" s="21">
        <v>0.68</v>
      </c>
      <c r="T17" s="22"/>
      <c r="U17" s="185">
        <f t="shared" si="1"/>
        <v>0.68</v>
      </c>
      <c r="X17" s="202" t="s">
        <v>217</v>
      </c>
      <c r="Y17" s="111">
        <v>5</v>
      </c>
      <c r="Z17" s="111">
        <v>20</v>
      </c>
      <c r="AA17" s="145">
        <f t="shared" si="2"/>
        <v>0.2777777777777778</v>
      </c>
      <c r="AB17" s="132" t="s">
        <v>165</v>
      </c>
    </row>
    <row r="18" spans="2:28" ht="12.75">
      <c r="B18" s="1" t="s">
        <v>24</v>
      </c>
      <c r="C18" s="174">
        <f>N27</f>
        <v>4745.3302752293575</v>
      </c>
      <c r="D18" s="94">
        <f>U18</f>
        <v>0.7703958262197858</v>
      </c>
      <c r="G18" s="1" t="s">
        <v>13</v>
      </c>
      <c r="H18" s="2">
        <v>4400</v>
      </c>
      <c r="I18" s="2">
        <v>4617.25</v>
      </c>
      <c r="J18" s="3"/>
      <c r="K18" s="6"/>
      <c r="L18" s="2">
        <v>2689</v>
      </c>
      <c r="M18" s="4">
        <v>2504</v>
      </c>
      <c r="N18" s="5">
        <f t="shared" si="4"/>
        <v>3677.4786171063142</v>
      </c>
      <c r="P18" s="1" t="s">
        <v>24</v>
      </c>
      <c r="Q18" s="17"/>
      <c r="R18" s="18"/>
      <c r="S18" s="21">
        <v>0.73</v>
      </c>
      <c r="T18" s="22">
        <v>0.85</v>
      </c>
      <c r="U18" s="127">
        <f t="shared" si="1"/>
        <v>0.7703958262197858</v>
      </c>
      <c r="X18" s="208" t="s">
        <v>218</v>
      </c>
      <c r="Y18" s="205">
        <v>17.5</v>
      </c>
      <c r="Z18" s="205">
        <v>38</v>
      </c>
      <c r="AA18" s="206">
        <f t="shared" si="2"/>
        <v>1</v>
      </c>
      <c r="AB18" s="207" t="s">
        <v>164</v>
      </c>
    </row>
    <row r="19" spans="2:28" ht="13.5" thickBot="1">
      <c r="B19" s="1" t="s">
        <v>50</v>
      </c>
      <c r="C19" s="180">
        <f>Y27</f>
        <v>4698.114640883978</v>
      </c>
      <c r="D19" s="94">
        <f>Y28</f>
        <v>0.6691605279312461</v>
      </c>
      <c r="G19" s="1" t="s">
        <v>15</v>
      </c>
      <c r="H19" s="2">
        <v>5500</v>
      </c>
      <c r="I19" s="2">
        <v>3687</v>
      </c>
      <c r="J19" s="3"/>
      <c r="K19" s="2"/>
      <c r="L19" s="2">
        <v>2307</v>
      </c>
      <c r="M19" s="4"/>
      <c r="N19" s="5">
        <f t="shared" si="4"/>
        <v>3355.9109900090825</v>
      </c>
      <c r="P19" s="8" t="s">
        <v>25</v>
      </c>
      <c r="Q19" s="17">
        <v>0.76</v>
      </c>
      <c r="R19" s="18"/>
      <c r="S19" s="21">
        <v>0.54</v>
      </c>
      <c r="T19" s="22">
        <v>0.88</v>
      </c>
      <c r="U19" s="185">
        <f t="shared" si="1"/>
        <v>0.6662216188257628</v>
      </c>
      <c r="X19" s="203" t="s">
        <v>219</v>
      </c>
      <c r="Y19" s="111">
        <v>3</v>
      </c>
      <c r="Z19" s="111">
        <v>9</v>
      </c>
      <c r="AA19" s="145">
        <f t="shared" si="2"/>
        <v>0.16666666666666666</v>
      </c>
      <c r="AB19" s="132" t="s">
        <v>165</v>
      </c>
    </row>
    <row r="20" spans="2:28" ht="13.5" thickBot="1">
      <c r="B20" s="8" t="s">
        <v>25</v>
      </c>
      <c r="C20" s="176">
        <f>N28</f>
        <v>3672.394884092725</v>
      </c>
      <c r="D20" s="95">
        <f>U19</f>
        <v>0.6662216188257628</v>
      </c>
      <c r="G20" s="1" t="s">
        <v>17</v>
      </c>
      <c r="H20" s="2">
        <v>4000</v>
      </c>
      <c r="I20" s="2">
        <v>3759.5</v>
      </c>
      <c r="J20" s="3"/>
      <c r="K20" s="2">
        <v>2558.25</v>
      </c>
      <c r="L20" s="2">
        <v>3792</v>
      </c>
      <c r="M20" s="4">
        <v>2698</v>
      </c>
      <c r="N20" s="5">
        <f t="shared" si="4"/>
        <v>3525.559930313588</v>
      </c>
      <c r="P20" s="181" t="s">
        <v>29</v>
      </c>
      <c r="Q20" s="182">
        <f>R36</f>
        <v>0.08786312561000417</v>
      </c>
      <c r="R20" s="182">
        <f>S36</f>
        <v>0.21188895810782685</v>
      </c>
      <c r="S20" s="182">
        <f>T36</f>
        <v>0.4645221401413223</v>
      </c>
      <c r="T20" s="183">
        <f>U36</f>
        <v>0.23572577614084672</v>
      </c>
      <c r="U20" s="184">
        <v>1</v>
      </c>
      <c r="X20" s="204" t="s">
        <v>209</v>
      </c>
      <c r="Y20" s="205">
        <v>4</v>
      </c>
      <c r="Z20" s="205">
        <v>35</v>
      </c>
      <c r="AA20" s="206">
        <f t="shared" si="2"/>
        <v>0</v>
      </c>
      <c r="AB20" s="207" t="s">
        <v>163</v>
      </c>
    </row>
    <row r="21" spans="7:28" ht="12.75">
      <c r="G21" s="1" t="s">
        <v>18</v>
      </c>
      <c r="H21" s="6"/>
      <c r="I21" s="2">
        <v>2664.5</v>
      </c>
      <c r="J21" s="3"/>
      <c r="K21" s="6"/>
      <c r="L21" s="6"/>
      <c r="M21" s="4">
        <v>2961</v>
      </c>
      <c r="N21" s="5">
        <f t="shared" si="4"/>
        <v>2728.677489177489</v>
      </c>
      <c r="X21" s="203" t="s">
        <v>220</v>
      </c>
      <c r="Y21" s="111"/>
      <c r="Z21" s="111"/>
      <c r="AA21" s="145">
        <f t="shared" si="2"/>
      </c>
      <c r="AB21" s="132"/>
    </row>
    <row r="22" spans="7:28" ht="12.75">
      <c r="G22" s="1" t="s">
        <v>19</v>
      </c>
      <c r="H22" s="2">
        <v>3400</v>
      </c>
      <c r="I22" s="2">
        <v>3431</v>
      </c>
      <c r="J22" s="3"/>
      <c r="K22" s="6"/>
      <c r="L22" s="6"/>
      <c r="M22" s="11"/>
      <c r="N22" s="5">
        <f t="shared" si="4"/>
        <v>3425.1238805970147</v>
      </c>
      <c r="P22" s="126" t="s">
        <v>202</v>
      </c>
      <c r="X22" s="208" t="s">
        <v>221</v>
      </c>
      <c r="Y22" s="205">
        <v>12</v>
      </c>
      <c r="Z22" s="205">
        <v>10</v>
      </c>
      <c r="AA22" s="206">
        <f t="shared" si="2"/>
        <v>0</v>
      </c>
      <c r="AB22" s="207" t="s">
        <v>163</v>
      </c>
    </row>
    <row r="23" spans="7:29" ht="12.75">
      <c r="G23" s="1" t="s">
        <v>20</v>
      </c>
      <c r="H23" s="2">
        <v>4450</v>
      </c>
      <c r="I23" s="2">
        <v>4258.333333333333</v>
      </c>
      <c r="J23" s="3"/>
      <c r="K23" s="2">
        <v>1620.563025210084</v>
      </c>
      <c r="L23" s="2">
        <v>5435</v>
      </c>
      <c r="M23" s="4">
        <v>3640</v>
      </c>
      <c r="N23" s="5">
        <f t="shared" si="4"/>
        <v>4225.849196263871</v>
      </c>
      <c r="X23" s="202" t="s">
        <v>222</v>
      </c>
      <c r="Y23" s="111">
        <v>8</v>
      </c>
      <c r="Z23" s="111">
        <v>12</v>
      </c>
      <c r="AA23" s="145">
        <f t="shared" si="2"/>
        <v>0.4444444444444444</v>
      </c>
      <c r="AB23" s="132" t="s">
        <v>165</v>
      </c>
      <c r="AC23" s="111"/>
    </row>
    <row r="24" spans="7:29" ht="12.75">
      <c r="G24" s="1" t="s">
        <v>21</v>
      </c>
      <c r="H24" s="2">
        <v>3550</v>
      </c>
      <c r="I24" s="2">
        <v>3704.75</v>
      </c>
      <c r="J24" s="2"/>
      <c r="K24" s="6"/>
      <c r="L24" s="2">
        <v>3211</v>
      </c>
      <c r="M24" s="4">
        <v>3250</v>
      </c>
      <c r="N24" s="5">
        <f t="shared" si="4"/>
        <v>3464.4046762589924</v>
      </c>
      <c r="P24" s="128"/>
      <c r="Q24" s="129"/>
      <c r="R24" s="130"/>
      <c r="S24" s="131"/>
      <c r="T24" s="131"/>
      <c r="U24" s="131"/>
      <c r="X24" s="208" t="s">
        <v>223</v>
      </c>
      <c r="Y24" s="205">
        <v>17.5</v>
      </c>
      <c r="Z24" s="205">
        <v>82</v>
      </c>
      <c r="AA24" s="206">
        <f t="shared" si="2"/>
        <v>1</v>
      </c>
      <c r="AB24" s="207" t="s">
        <v>164</v>
      </c>
      <c r="AC24" s="111"/>
    </row>
    <row r="25" spans="7:29" ht="16.5" thickBot="1">
      <c r="G25" s="1" t="s">
        <v>22</v>
      </c>
      <c r="H25" s="2">
        <v>2150</v>
      </c>
      <c r="I25" s="2">
        <v>2774</v>
      </c>
      <c r="J25" s="2">
        <v>2147</v>
      </c>
      <c r="K25" s="6"/>
      <c r="L25" s="2">
        <v>1795</v>
      </c>
      <c r="M25" s="4">
        <v>2795</v>
      </c>
      <c r="N25" s="5">
        <f t="shared" si="4"/>
        <v>2301.6893571042683</v>
      </c>
      <c r="P25" s="116" t="s">
        <v>203</v>
      </c>
      <c r="X25" s="212" t="s">
        <v>224</v>
      </c>
      <c r="Y25" s="135">
        <v>16</v>
      </c>
      <c r="Z25" s="135">
        <v>84</v>
      </c>
      <c r="AA25" s="213">
        <f t="shared" si="2"/>
        <v>0.8888888888888888</v>
      </c>
      <c r="AB25" s="214" t="s">
        <v>165</v>
      </c>
      <c r="AC25" s="111"/>
    </row>
    <row r="26" spans="7:29" ht="13.5" thickBot="1">
      <c r="G26" s="1" t="s">
        <v>23</v>
      </c>
      <c r="H26" s="2">
        <v>3900</v>
      </c>
      <c r="I26" s="3"/>
      <c r="J26" s="3"/>
      <c r="K26" s="3"/>
      <c r="L26" s="3"/>
      <c r="M26" s="12"/>
      <c r="N26" s="5">
        <f t="shared" si="4"/>
        <v>3900</v>
      </c>
      <c r="P26" s="613"/>
      <c r="Q26" s="637"/>
      <c r="R26" s="636" t="s">
        <v>2</v>
      </c>
      <c r="S26" s="636" t="s">
        <v>4</v>
      </c>
      <c r="T26" s="636" t="s">
        <v>27</v>
      </c>
      <c r="U26" s="636" t="s">
        <v>28</v>
      </c>
      <c r="V26" s="656" t="s">
        <v>30</v>
      </c>
      <c r="X26" s="215" t="s">
        <v>226</v>
      </c>
      <c r="Y26" s="217">
        <f>SUMPRODUCT(Y8:Y25,Z8:Z25)/Z26</f>
        <v>12.871546961325967</v>
      </c>
      <c r="Z26" s="141">
        <f>SUM(Z20:Z25,Z14:Z19,Z8:Z13)</f>
        <v>362</v>
      </c>
      <c r="AA26" s="216">
        <f>SUMPRODUCT(Z8:Z25,AA8:AA25)/Z26</f>
        <v>0.6691605279312461</v>
      </c>
      <c r="AB26" s="146"/>
      <c r="AC26" s="111"/>
    </row>
    <row r="27" spans="7:28" ht="13.5" thickBot="1">
      <c r="G27" s="1" t="s">
        <v>24</v>
      </c>
      <c r="H27" s="3"/>
      <c r="I27" s="2">
        <v>5054</v>
      </c>
      <c r="J27" s="3"/>
      <c r="K27" s="2">
        <v>3547</v>
      </c>
      <c r="L27" s="2">
        <v>5512</v>
      </c>
      <c r="M27" s="4">
        <v>2895</v>
      </c>
      <c r="N27" s="5">
        <f t="shared" si="4"/>
        <v>4745.3302752293575</v>
      </c>
      <c r="P27" s="638"/>
      <c r="Q27" s="639"/>
      <c r="R27" s="614"/>
      <c r="S27" s="648"/>
      <c r="T27" s="614"/>
      <c r="U27" s="614"/>
      <c r="V27" s="657"/>
      <c r="X27" s="147" t="s">
        <v>225</v>
      </c>
      <c r="Y27" s="556">
        <f>Y26*365</f>
        <v>4698.114640883978</v>
      </c>
      <c r="AB27" s="111"/>
    </row>
    <row r="28" spans="7:28" ht="13.5" thickBot="1">
      <c r="G28" s="1" t="s">
        <v>25</v>
      </c>
      <c r="H28" s="2">
        <v>4500</v>
      </c>
      <c r="I28" s="2">
        <v>3723</v>
      </c>
      <c r="J28" s="3"/>
      <c r="K28" s="6"/>
      <c r="L28" s="2">
        <v>3667</v>
      </c>
      <c r="M28" s="4">
        <v>2804</v>
      </c>
      <c r="N28" s="5">
        <f t="shared" si="4"/>
        <v>3672.394884092725</v>
      </c>
      <c r="P28" s="653" t="s">
        <v>31</v>
      </c>
      <c r="Q28" s="654"/>
      <c r="R28" s="197" t="s">
        <v>32</v>
      </c>
      <c r="S28" s="197" t="s">
        <v>33</v>
      </c>
      <c r="T28" s="197" t="s">
        <v>34</v>
      </c>
      <c r="U28" s="197" t="s">
        <v>35</v>
      </c>
      <c r="V28" s="198" t="s">
        <v>34</v>
      </c>
      <c r="X28" s="557" t="s">
        <v>48</v>
      </c>
      <c r="Y28" s="558">
        <f>AA26</f>
        <v>0.6691605279312461</v>
      </c>
      <c r="AB28" s="111"/>
    </row>
    <row r="29" spans="7:29" ht="13.5" thickBot="1">
      <c r="G29" s="13" t="s">
        <v>16</v>
      </c>
      <c r="H29" s="14">
        <f aca="true" t="shared" si="5" ref="H29:M29">H10</f>
        <v>0.062407862407862405</v>
      </c>
      <c r="I29" s="14">
        <f t="shared" si="5"/>
        <v>0.26683046683046685</v>
      </c>
      <c r="J29" s="14">
        <f t="shared" si="5"/>
        <v>0.29484029484029484</v>
      </c>
      <c r="K29" s="14">
        <f t="shared" si="5"/>
        <v>0.09041769041769042</v>
      </c>
      <c r="L29" s="14">
        <f t="shared" si="5"/>
        <v>0.21179361179361178</v>
      </c>
      <c r="M29" s="15">
        <f t="shared" si="5"/>
        <v>0.07371007371007371</v>
      </c>
      <c r="N29" s="16">
        <v>1</v>
      </c>
      <c r="P29" s="611" t="s">
        <v>36</v>
      </c>
      <c r="Q29" s="612"/>
      <c r="R29" s="194" t="s">
        <v>37</v>
      </c>
      <c r="S29" s="195" t="s">
        <v>38</v>
      </c>
      <c r="T29" s="195" t="s">
        <v>39</v>
      </c>
      <c r="U29" s="195" t="s">
        <v>40</v>
      </c>
      <c r="V29" s="196" t="s">
        <v>40</v>
      </c>
      <c r="AC29" s="111"/>
    </row>
    <row r="30" spans="7:29" ht="12.75">
      <c r="G30" s="122"/>
      <c r="H30" s="123"/>
      <c r="I30" s="123"/>
      <c r="J30" s="124"/>
      <c r="K30" s="125"/>
      <c r="L30" s="123"/>
      <c r="M30" s="123"/>
      <c r="N30" s="123"/>
      <c r="P30" s="653" t="s">
        <v>41</v>
      </c>
      <c r="Q30" s="654"/>
      <c r="R30" s="168">
        <f>184*6</f>
        <v>1104</v>
      </c>
      <c r="S30" s="168">
        <f>122*2</f>
        <v>244</v>
      </c>
      <c r="T30" s="168">
        <f>92*4</f>
        <v>368</v>
      </c>
      <c r="U30" s="168">
        <f>153*3</f>
        <v>459</v>
      </c>
      <c r="V30" s="169">
        <f>92*3</f>
        <v>276</v>
      </c>
      <c r="AC30" s="111"/>
    </row>
    <row r="31" spans="7:22" ht="12.75">
      <c r="G31" s="26" t="s">
        <v>200</v>
      </c>
      <c r="P31" s="611" t="s">
        <v>42</v>
      </c>
      <c r="Q31" s="612"/>
      <c r="R31" s="192">
        <v>276</v>
      </c>
      <c r="S31" s="192">
        <v>92</v>
      </c>
      <c r="T31" s="192">
        <v>276</v>
      </c>
      <c r="U31" s="192">
        <v>276</v>
      </c>
      <c r="V31" s="193">
        <v>276</v>
      </c>
    </row>
    <row r="32" spans="16:22" ht="12.75">
      <c r="P32" s="653" t="s">
        <v>43</v>
      </c>
      <c r="Q32" s="654"/>
      <c r="R32" s="188">
        <f>R31/R30</f>
        <v>0.25</v>
      </c>
      <c r="S32" s="188">
        <f>S31/S30</f>
        <v>0.3770491803278688</v>
      </c>
      <c r="T32" s="188">
        <f>T31/T30</f>
        <v>0.75</v>
      </c>
      <c r="U32" s="188">
        <f>U31/U30</f>
        <v>0.6013071895424836</v>
      </c>
      <c r="V32" s="189">
        <v>1</v>
      </c>
    </row>
    <row r="33" spans="16:22" ht="12.75">
      <c r="P33" s="611" t="s">
        <v>44</v>
      </c>
      <c r="Q33" s="612"/>
      <c r="R33" s="187">
        <f>R32/(SUM($R32:$U32))</f>
        <v>0.1263675259965338</v>
      </c>
      <c r="S33" s="187">
        <f>S32/(SUM($R32:$U32))</f>
        <v>0.19058708838821492</v>
      </c>
      <c r="T33" s="187">
        <f>T32/(SUM($R32:$U32))</f>
        <v>0.3791025779896014</v>
      </c>
      <c r="U33" s="187">
        <f>U32/(SUM($R32:$U32))</f>
        <v>0.3039428076256499</v>
      </c>
      <c r="V33" s="186"/>
    </row>
    <row r="34" spans="7:22" ht="12.75">
      <c r="G34" s="26" t="s">
        <v>227</v>
      </c>
      <c r="P34" s="624" t="s">
        <v>14</v>
      </c>
      <c r="Q34" s="625"/>
      <c r="R34" s="168">
        <v>127</v>
      </c>
      <c r="S34" s="168">
        <v>600</v>
      </c>
      <c r="T34" s="168">
        <v>1415</v>
      </c>
      <c r="U34" s="168">
        <v>431</v>
      </c>
      <c r="V34" s="169"/>
    </row>
    <row r="35" spans="7:22" ht="12.75">
      <c r="G35" s="26" t="s">
        <v>228</v>
      </c>
      <c r="H35" s="26">
        <v>986</v>
      </c>
      <c r="P35" s="628" t="s">
        <v>45</v>
      </c>
      <c r="Q35" s="629"/>
      <c r="R35" s="187">
        <f>R34/(SUM($R34:$U34))</f>
        <v>0.049358725223474544</v>
      </c>
      <c r="S35" s="187">
        <f>S34/(SUM($R34:$U34))</f>
        <v>0.23319082782743877</v>
      </c>
      <c r="T35" s="187">
        <f>T34/(SUM($R34:$U34))</f>
        <v>0.5499417022930432</v>
      </c>
      <c r="U35" s="187">
        <f>U34/(SUM($R34:$U34))</f>
        <v>0.16750874465604354</v>
      </c>
      <c r="V35" s="186"/>
    </row>
    <row r="36" spans="7:22" ht="13.5" thickBot="1">
      <c r="G36" s="26" t="s">
        <v>157</v>
      </c>
      <c r="H36" s="121">
        <v>0.07</v>
      </c>
      <c r="P36" s="626" t="s">
        <v>46</v>
      </c>
      <c r="Q36" s="627"/>
      <c r="R36" s="190">
        <f>(R35+R33)/2</f>
        <v>0.08786312561000417</v>
      </c>
      <c r="S36" s="190">
        <f>(S35+S33)/2</f>
        <v>0.21188895810782685</v>
      </c>
      <c r="T36" s="190">
        <f>(T35+T33)/2</f>
        <v>0.4645221401413223</v>
      </c>
      <c r="U36" s="190">
        <f>(U35+U33)/2</f>
        <v>0.23572577614084672</v>
      </c>
      <c r="V36" s="191"/>
    </row>
    <row r="37" spans="16:19" ht="12.75">
      <c r="P37" s="111"/>
      <c r="Q37" s="111"/>
      <c r="R37" s="111"/>
      <c r="S37" s="111"/>
    </row>
    <row r="38" spans="16:19" ht="12.75">
      <c r="P38" s="111"/>
      <c r="Q38" s="111"/>
      <c r="R38" s="111"/>
      <c r="S38" s="111"/>
    </row>
    <row r="53" ht="24.75" customHeight="1"/>
  </sheetData>
  <mergeCells count="44">
    <mergeCell ref="V26:V27"/>
    <mergeCell ref="P28:Q28"/>
    <mergeCell ref="P31:Q31"/>
    <mergeCell ref="P32:Q32"/>
    <mergeCell ref="P33:Q33"/>
    <mergeCell ref="U26:U27"/>
    <mergeCell ref="S26:S27"/>
    <mergeCell ref="B4:B5"/>
    <mergeCell ref="C4:C5"/>
    <mergeCell ref="P30:Q30"/>
    <mergeCell ref="D4:D5"/>
    <mergeCell ref="G14:G15"/>
    <mergeCell ref="H14:H15"/>
    <mergeCell ref="I14:I15"/>
    <mergeCell ref="K5:K6"/>
    <mergeCell ref="L5:L6"/>
    <mergeCell ref="M5:M6"/>
    <mergeCell ref="S5:S6"/>
    <mergeCell ref="G5:G6"/>
    <mergeCell ref="H5:H6"/>
    <mergeCell ref="I5:I6"/>
    <mergeCell ref="J5:J6"/>
    <mergeCell ref="J14:J15"/>
    <mergeCell ref="K14:K15"/>
    <mergeCell ref="L14:L15"/>
    <mergeCell ref="M14:M15"/>
    <mergeCell ref="N14:N15"/>
    <mergeCell ref="P5:P6"/>
    <mergeCell ref="Q5:Q6"/>
    <mergeCell ref="R5:R6"/>
    <mergeCell ref="P34:Q34"/>
    <mergeCell ref="P36:Q36"/>
    <mergeCell ref="P35:Q35"/>
    <mergeCell ref="X6:X7"/>
    <mergeCell ref="T5:T6"/>
    <mergeCell ref="U5:U6"/>
    <mergeCell ref="T26:T27"/>
    <mergeCell ref="P29:Q29"/>
    <mergeCell ref="P26:Q27"/>
    <mergeCell ref="R26:R27"/>
    <mergeCell ref="Y6:Y7"/>
    <mergeCell ref="Z6:Z7"/>
    <mergeCell ref="AA6:AA7"/>
    <mergeCell ref="AB6:AB7"/>
  </mergeCells>
  <conditionalFormatting sqref="P7:T19 G16:N29 G7:G10 B6:D20 H9:M10 P22">
    <cfRule type="expression" priority="1" dxfId="0" stopIfTrue="1">
      <formula>MOD(ROW(),2)=1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N56"/>
  <sheetViews>
    <sheetView workbookViewId="0" topLeftCell="A1">
      <selection activeCell="L49" sqref="L49"/>
    </sheetView>
  </sheetViews>
  <sheetFormatPr defaultColWidth="9.140625" defaultRowHeight="12.75"/>
  <cols>
    <col min="1" max="1" width="11.57421875" style="100" bestFit="1" customWidth="1"/>
    <col min="2" max="2" width="14.140625" style="100" bestFit="1" customWidth="1"/>
    <col min="3" max="3" width="8.28125" style="100" customWidth="1"/>
    <col min="4" max="4" width="6.28125" style="100" customWidth="1"/>
    <col min="5" max="5" width="9.140625" style="100" customWidth="1"/>
    <col min="6" max="6" width="8.421875" style="100" customWidth="1"/>
    <col min="7" max="7" width="9.8515625" style="100" bestFit="1" customWidth="1"/>
    <col min="8" max="8" width="7.28125" style="100" customWidth="1"/>
    <col min="9" max="10" width="9.140625" style="100" customWidth="1"/>
    <col min="11" max="11" width="11.140625" style="100" customWidth="1"/>
    <col min="12" max="12" width="42.8515625" style="100" customWidth="1"/>
    <col min="13" max="13" width="9.8515625" style="100" bestFit="1" customWidth="1"/>
    <col min="14" max="14" width="9.00390625" style="100" customWidth="1"/>
    <col min="15" max="15" width="10.421875" style="100" bestFit="1" customWidth="1"/>
    <col min="16" max="16" width="10.8515625" style="100" bestFit="1" customWidth="1"/>
    <col min="17" max="17" width="8.421875" style="100" bestFit="1" customWidth="1"/>
    <col min="18" max="18" width="11.28125" style="100" bestFit="1" customWidth="1"/>
    <col min="19" max="19" width="5.7109375" style="100" bestFit="1" customWidth="1"/>
    <col min="20" max="20" width="8.00390625" style="100" bestFit="1" customWidth="1"/>
    <col min="21" max="21" width="9.8515625" style="100" customWidth="1"/>
    <col min="22" max="22" width="5.57421875" style="100" bestFit="1" customWidth="1"/>
    <col min="23" max="23" width="5.7109375" style="100" customWidth="1"/>
    <col min="24" max="24" width="5.57421875" style="100" bestFit="1" customWidth="1"/>
    <col min="25" max="27" width="5.7109375" style="100" bestFit="1" customWidth="1"/>
    <col min="28" max="28" width="5.57421875" style="100" bestFit="1" customWidth="1"/>
    <col min="29" max="31" width="5.7109375" style="100" bestFit="1" customWidth="1"/>
    <col min="32" max="32" width="8.7109375" style="100" bestFit="1" customWidth="1"/>
    <col min="33" max="33" width="14.421875" style="100" customWidth="1"/>
    <col min="34" max="34" width="10.7109375" style="100" customWidth="1"/>
    <col min="35" max="35" width="9.8515625" style="100" customWidth="1"/>
    <col min="36" max="36" width="9.140625" style="100" customWidth="1"/>
    <col min="37" max="37" width="10.57421875" style="100" customWidth="1"/>
    <col min="38" max="38" width="12.421875" style="100" customWidth="1"/>
    <col min="39" max="39" width="12.00390625" style="100" customWidth="1"/>
    <col min="40" max="40" width="9.140625" style="100" customWidth="1"/>
    <col min="41" max="41" width="6.57421875" style="100" customWidth="1"/>
    <col min="42" max="42" width="6.8515625" style="100" customWidth="1"/>
    <col min="43" max="46" width="6.8515625" style="100" bestFit="1" customWidth="1"/>
    <col min="47" max="47" width="6.421875" style="100" bestFit="1" customWidth="1"/>
    <col min="48" max="48" width="6.8515625" style="100" bestFit="1" customWidth="1"/>
    <col min="49" max="49" width="6.57421875" style="100" bestFit="1" customWidth="1"/>
    <col min="50" max="50" width="5.140625" style="100" bestFit="1" customWidth="1"/>
    <col min="51" max="51" width="6.8515625" style="100" bestFit="1" customWidth="1"/>
    <col min="52" max="52" width="6.421875" style="100" bestFit="1" customWidth="1"/>
    <col min="53" max="53" width="6.8515625" style="100" bestFit="1" customWidth="1"/>
    <col min="54" max="54" width="6.57421875" style="100" bestFit="1" customWidth="1"/>
    <col min="55" max="55" width="5.140625" style="100" bestFit="1" customWidth="1"/>
    <col min="56" max="16384" width="9.140625" style="100" customWidth="1"/>
  </cols>
  <sheetData>
    <row r="2" spans="15:21" ht="12">
      <c r="O2" s="112"/>
      <c r="P2" s="112"/>
      <c r="Q2" s="112"/>
      <c r="R2" s="112"/>
      <c r="S2" s="112"/>
      <c r="T2" s="112"/>
      <c r="U2" s="112"/>
    </row>
    <row r="3" spans="2:40" ht="16.5" thickBot="1">
      <c r="B3" s="116" t="s">
        <v>294</v>
      </c>
      <c r="AG3" s="430" t="s">
        <v>239</v>
      </c>
      <c r="AH3" s="135"/>
      <c r="AI3" s="135"/>
      <c r="AJ3" s="135"/>
      <c r="AK3" s="135"/>
      <c r="AL3" s="135"/>
      <c r="AM3" s="135"/>
      <c r="AN3" s="135"/>
    </row>
    <row r="4" spans="2:40" ht="12.75" customHeight="1" thickBot="1">
      <c r="B4" s="739" t="s">
        <v>1</v>
      </c>
      <c r="C4" s="739" t="s">
        <v>47</v>
      </c>
      <c r="D4" s="739" t="s">
        <v>48</v>
      </c>
      <c r="E4" s="747" t="s">
        <v>148</v>
      </c>
      <c r="F4" s="747"/>
      <c r="G4" s="747"/>
      <c r="H4" s="747"/>
      <c r="AG4" s="431" t="s">
        <v>240</v>
      </c>
      <c r="AH4" s="432" t="s">
        <v>241</v>
      </c>
      <c r="AI4" s="433" t="s">
        <v>242</v>
      </c>
      <c r="AJ4" s="433" t="s">
        <v>243</v>
      </c>
      <c r="AK4" s="433" t="s">
        <v>244</v>
      </c>
      <c r="AL4" s="433" t="s">
        <v>245</v>
      </c>
      <c r="AM4" s="433" t="s">
        <v>246</v>
      </c>
      <c r="AN4" s="434" t="s">
        <v>247</v>
      </c>
    </row>
    <row r="5" spans="2:40" ht="13.5" thickBot="1">
      <c r="B5" s="739"/>
      <c r="C5" s="739"/>
      <c r="D5" s="739"/>
      <c r="E5" s="739" t="s">
        <v>149</v>
      </c>
      <c r="F5" s="739"/>
      <c r="G5" s="739" t="s">
        <v>150</v>
      </c>
      <c r="H5" s="739"/>
      <c r="AG5" s="439" t="s">
        <v>248</v>
      </c>
      <c r="AH5" s="440">
        <v>1</v>
      </c>
      <c r="AI5" s="453">
        <v>36</v>
      </c>
      <c r="AJ5" s="441">
        <v>20.459228</v>
      </c>
      <c r="AK5" s="441">
        <v>79.415652</v>
      </c>
      <c r="AL5" s="441">
        <v>58.956424</v>
      </c>
      <c r="AM5" s="441">
        <v>55.652225</v>
      </c>
      <c r="AN5" s="448">
        <v>2901.866017857143</v>
      </c>
    </row>
    <row r="6" spans="2:40" ht="13.5" thickBot="1">
      <c r="B6" s="740"/>
      <c r="C6" s="740"/>
      <c r="D6" s="740"/>
      <c r="E6" s="598" t="s">
        <v>89</v>
      </c>
      <c r="F6" s="598" t="s">
        <v>90</v>
      </c>
      <c r="G6" s="598" t="s">
        <v>89</v>
      </c>
      <c r="H6" s="598" t="s">
        <v>90</v>
      </c>
      <c r="K6" s="416" t="s">
        <v>94</v>
      </c>
      <c r="L6" s="419" t="s">
        <v>95</v>
      </c>
      <c r="M6" s="419" t="s">
        <v>286</v>
      </c>
      <c r="N6" s="413" t="s">
        <v>131</v>
      </c>
      <c r="AG6" s="435" t="s">
        <v>249</v>
      </c>
      <c r="AH6" s="436">
        <v>1</v>
      </c>
      <c r="AI6" s="454">
        <v>25</v>
      </c>
      <c r="AJ6" s="437">
        <v>19.186667</v>
      </c>
      <c r="AK6" s="437">
        <v>70</v>
      </c>
      <c r="AL6" s="437">
        <v>50.813333</v>
      </c>
      <c r="AM6" s="437">
        <v>35.6</v>
      </c>
      <c r="AN6" s="449">
        <v>1856.2857142857144</v>
      </c>
    </row>
    <row r="7" spans="2:40" ht="13.5" thickTop="1">
      <c r="B7" s="583" t="s">
        <v>155</v>
      </c>
      <c r="C7" s="597">
        <f>AN17</f>
        <v>2449.637176811594</v>
      </c>
      <c r="D7" s="600">
        <f>'Alt hrs and cf'!D5</f>
        <v>0.6691605279312461</v>
      </c>
      <c r="E7" s="605">
        <f>($N$7-$M$7)*$D7/1000</f>
        <v>0.03727098815802831</v>
      </c>
      <c r="F7" s="597">
        <f>($N$7-$M$7)*$C7/1000</f>
        <v>136.4402029071739</v>
      </c>
      <c r="G7" s="605">
        <f>($N$8-$M$8)*$D7/1000</f>
        <v>0.032676091799663035</v>
      </c>
      <c r="H7" s="597">
        <f>($N$8-$M$8)*$C7/1000</f>
        <v>119.61938268060445</v>
      </c>
      <c r="I7" s="230"/>
      <c r="J7" s="230"/>
      <c r="K7" s="417" t="s">
        <v>144</v>
      </c>
      <c r="L7" s="420" t="s">
        <v>145</v>
      </c>
      <c r="M7" s="422">
        <f>AJ20</f>
        <v>19.965951454545454</v>
      </c>
      <c r="N7" s="415">
        <f>AK20</f>
        <v>75.66407858893281</v>
      </c>
      <c r="P7" s="230"/>
      <c r="Q7" s="230"/>
      <c r="R7" s="230"/>
      <c r="AG7" s="442" t="s">
        <v>250</v>
      </c>
      <c r="AH7" s="443">
        <v>1</v>
      </c>
      <c r="AI7" s="455">
        <v>8</v>
      </c>
      <c r="AJ7" s="444">
        <v>19.25</v>
      </c>
      <c r="AK7" s="444">
        <v>71.25</v>
      </c>
      <c r="AL7" s="444">
        <v>52</v>
      </c>
      <c r="AM7" s="444">
        <v>44.625</v>
      </c>
      <c r="AN7" s="450">
        <v>2326.875</v>
      </c>
    </row>
    <row r="8" spans="2:40" ht="13.5" thickBot="1">
      <c r="B8" s="578" t="s">
        <v>261</v>
      </c>
      <c r="C8" s="595">
        <f>'Alt hrs and cf'!C6</f>
        <v>3729.6935374847126</v>
      </c>
      <c r="D8" s="593">
        <f>'Alt hrs and cf'!D6</f>
        <v>0.7657736643830362</v>
      </c>
      <c r="E8" s="604">
        <f>($N$7-$M$7)*$D8/1000</f>
        <v>0.042652158914972024</v>
      </c>
      <c r="F8" s="595">
        <f>($N$7-$M$7)*$C8/1000</f>
        <v>207.73694482312644</v>
      </c>
      <c r="G8" s="604">
        <f>($N$8-$M$8)*$D8/1000</f>
        <v>0.03739385320963733</v>
      </c>
      <c r="H8" s="595">
        <f>($N$8-$M$8)*$C8/1000</f>
        <v>182.12641560349527</v>
      </c>
      <c r="K8" s="418" t="s">
        <v>146</v>
      </c>
      <c r="L8" s="421" t="s">
        <v>147</v>
      </c>
      <c r="M8" s="423">
        <f>AK29</f>
        <v>17.504479887416444</v>
      </c>
      <c r="N8" s="414">
        <f>M8*N7/M7</f>
        <v>66.33594922211155</v>
      </c>
      <c r="AG8" s="435" t="s">
        <v>248</v>
      </c>
      <c r="AH8" s="436">
        <v>2</v>
      </c>
      <c r="AI8" s="454">
        <v>60</v>
      </c>
      <c r="AJ8" s="437">
        <v>19.523788</v>
      </c>
      <c r="AK8" s="437">
        <v>74.419669</v>
      </c>
      <c r="AL8" s="437">
        <v>54.895881</v>
      </c>
      <c r="AM8" s="437">
        <v>64.003498</v>
      </c>
      <c r="AN8" s="449">
        <v>3337.325252857143</v>
      </c>
    </row>
    <row r="9" spans="2:40" ht="12.75">
      <c r="B9" s="578" t="s">
        <v>24</v>
      </c>
      <c r="C9" s="595">
        <f>'Alt hrs and cf'!C7</f>
        <v>4745.3302752293575</v>
      </c>
      <c r="D9" s="593">
        <f>'Alt hrs and cf'!D7</f>
        <v>0.7703958262197858</v>
      </c>
      <c r="E9" s="604">
        <f>($N$7-$M$7)*$D9/1000</f>
        <v>0.042909604672591015</v>
      </c>
      <c r="F9" s="595">
        <f>($N$7-$M$7)*$C9/1000</f>
        <v>264.3060089643821</v>
      </c>
      <c r="G9" s="604">
        <f>($N$8-$M$8)*$D9/1000</f>
        <v>0.03761956016362857</v>
      </c>
      <c r="H9" s="595">
        <f>($N$8-$M$8)*$C9/1000</f>
        <v>231.72144981786266</v>
      </c>
      <c r="K9" s="230" t="s">
        <v>285</v>
      </c>
      <c r="L9" s="113"/>
      <c r="M9" s="115"/>
      <c r="N9" s="115"/>
      <c r="AG9" s="442" t="s">
        <v>249</v>
      </c>
      <c r="AH9" s="443">
        <v>2</v>
      </c>
      <c r="AI9" s="455">
        <v>23</v>
      </c>
      <c r="AJ9" s="444">
        <v>20</v>
      </c>
      <c r="AK9" s="444">
        <v>71.052632</v>
      </c>
      <c r="AL9" s="444">
        <v>51.052632</v>
      </c>
      <c r="AM9" s="444">
        <v>49.947368</v>
      </c>
      <c r="AN9" s="450">
        <v>2604.398474285714</v>
      </c>
    </row>
    <row r="10" spans="2:40" ht="12.75">
      <c r="B10" s="578" t="s">
        <v>272</v>
      </c>
      <c r="C10" s="595">
        <f>'Alt hrs and cf'!C8</f>
        <v>3238.4869525296617</v>
      </c>
      <c r="D10" s="593">
        <f>'Alt hrs and cf'!D8</f>
        <v>0.6436897206395211</v>
      </c>
      <c r="E10" s="604">
        <f>($N$7-$M$7)*$D10/1000</f>
        <v>0.03585231189527833</v>
      </c>
      <c r="F10" s="595">
        <f>($N$7-$M$7)*$C10/1000</f>
        <v>180.37765800505179</v>
      </c>
      <c r="G10" s="604">
        <f>($N$8-$M$8)*$D10/1000</f>
        <v>0.031432314854467236</v>
      </c>
      <c r="H10" s="595">
        <f>($N$8-$M$8)*$C10/1000</f>
        <v>158.1400763132624</v>
      </c>
      <c r="AG10" s="435" t="s">
        <v>250</v>
      </c>
      <c r="AH10" s="436">
        <v>5</v>
      </c>
      <c r="AI10" s="454">
        <v>101</v>
      </c>
      <c r="AJ10" s="437">
        <v>20.201757</v>
      </c>
      <c r="AK10" s="437">
        <v>77.462454</v>
      </c>
      <c r="AL10" s="437">
        <v>57.260698</v>
      </c>
      <c r="AM10" s="437">
        <v>61.671605</v>
      </c>
      <c r="AN10" s="449">
        <v>3215.7336892857143</v>
      </c>
    </row>
    <row r="11" spans="2:40" ht="12.75">
      <c r="B11" s="230" t="s">
        <v>284</v>
      </c>
      <c r="AG11" s="442" t="s">
        <v>248</v>
      </c>
      <c r="AH11" s="177" t="s">
        <v>251</v>
      </c>
      <c r="AI11" s="455">
        <v>96</v>
      </c>
      <c r="AJ11" s="444">
        <v>19.917066</v>
      </c>
      <c r="AK11" s="444">
        <v>76.52008</v>
      </c>
      <c r="AL11" s="444">
        <v>56.603014</v>
      </c>
      <c r="AM11" s="444">
        <v>60.564041</v>
      </c>
      <c r="AN11" s="450">
        <v>3157.982137857143</v>
      </c>
    </row>
    <row r="12" spans="33:40" ht="12.75">
      <c r="AG12" s="435" t="s">
        <v>249</v>
      </c>
      <c r="AH12" s="438" t="s">
        <v>251</v>
      </c>
      <c r="AI12" s="454">
        <v>48</v>
      </c>
      <c r="AJ12" s="437">
        <v>19.637899</v>
      </c>
      <c r="AK12" s="437">
        <v>70.583993</v>
      </c>
      <c r="AL12" s="437">
        <v>50.946094</v>
      </c>
      <c r="AM12" s="437">
        <v>43.559825</v>
      </c>
      <c r="AN12" s="449">
        <v>2271.333732142857</v>
      </c>
    </row>
    <row r="13" spans="33:40" ht="13.5" thickBot="1">
      <c r="AG13" s="445" t="s">
        <v>250</v>
      </c>
      <c r="AH13" s="446" t="s">
        <v>251</v>
      </c>
      <c r="AI13" s="456">
        <v>109</v>
      </c>
      <c r="AJ13" s="447">
        <v>20.15347</v>
      </c>
      <c r="AK13" s="447">
        <v>77.147271</v>
      </c>
      <c r="AL13" s="447">
        <v>56.993801</v>
      </c>
      <c r="AM13" s="447">
        <v>60.787984</v>
      </c>
      <c r="AN13" s="451">
        <v>3169.659165714286</v>
      </c>
    </row>
    <row r="14" ht="12">
      <c r="AI14" s="457"/>
    </row>
    <row r="15" ht="12.75" thickBot="1">
      <c r="AI15" s="457"/>
    </row>
    <row r="16" spans="33:40" ht="26.25" thickBot="1">
      <c r="AG16" s="458" t="s">
        <v>241</v>
      </c>
      <c r="AH16" s="460" t="s">
        <v>252</v>
      </c>
      <c r="AI16" s="462" t="s">
        <v>242</v>
      </c>
      <c r="AJ16" s="464" t="s">
        <v>243</v>
      </c>
      <c r="AK16" s="464" t="s">
        <v>244</v>
      </c>
      <c r="AL16" s="460" t="s">
        <v>245</v>
      </c>
      <c r="AM16" s="460" t="s">
        <v>253</v>
      </c>
      <c r="AN16" s="466" t="s">
        <v>247</v>
      </c>
    </row>
    <row r="17" spans="33:40" ht="12.75">
      <c r="AG17" s="467">
        <v>1</v>
      </c>
      <c r="AH17" s="468" t="s">
        <v>233</v>
      </c>
      <c r="AI17" s="469">
        <f>SUM(AI5:AI7)</f>
        <v>69</v>
      </c>
      <c r="AJ17" s="470">
        <f>SUMPRODUCT(AJ5:AJ7,$AI5:$AI7)/SUM($AI5:$AI7)</f>
        <v>19.857954826086957</v>
      </c>
      <c r="AK17" s="470">
        <f>SUMPRODUCT(AK5:AK7,$AI5:$AI7)/SUM($AI5:$AI7)</f>
        <v>75.0574416231884</v>
      </c>
      <c r="AL17" s="470">
        <f>SUMPRODUCT(AL5:AL7,$AI5:$AI7)/SUM($AI5:$AI7)</f>
        <v>55.19948679710145</v>
      </c>
      <c r="AM17" s="470">
        <f>SUMPRODUCT(AM5:AM7,$AI5:$AI7)/SUM($AI5:$AI7)</f>
        <v>47.10840724637681</v>
      </c>
      <c r="AN17" s="475">
        <f>AM17*52</f>
        <v>2449.637176811594</v>
      </c>
    </row>
    <row r="18" spans="33:40" ht="12.75">
      <c r="AG18" s="459">
        <v>2</v>
      </c>
      <c r="AH18" s="461" t="s">
        <v>254</v>
      </c>
      <c r="AI18" s="463">
        <f>SUM(AI8:AI9)</f>
        <v>83</v>
      </c>
      <c r="AJ18" s="465">
        <f>SUMPRODUCT(AJ8:AJ9,$AI8:$AI9)/SUM($AI8:$AI9)</f>
        <v>19.655750361445783</v>
      </c>
      <c r="AK18" s="465">
        <f>SUMPRODUCT(AK8:AK9,$AI8:$AI9)/SUM($AI8:$AI9)</f>
        <v>73.48663465060243</v>
      </c>
      <c r="AL18" s="465">
        <f>SUMPRODUCT(AL8:AL9,$AI8:$AI9)/SUM($AI8:$AI9)</f>
        <v>53.83088428915663</v>
      </c>
      <c r="AM18" s="465">
        <f>SUMPRODUCT(AM8:AM9,$AI8:$AI9)/SUM($AI8:$AI9)</f>
        <v>60.1084258313253</v>
      </c>
      <c r="AN18" s="476">
        <f>AM18*52</f>
        <v>3125.6381432289154</v>
      </c>
    </row>
    <row r="19" spans="33:40" ht="13.5" thickBot="1">
      <c r="AG19" s="467">
        <v>5</v>
      </c>
      <c r="AH19" s="468" t="s">
        <v>255</v>
      </c>
      <c r="AI19" s="469">
        <f>AI10</f>
        <v>101</v>
      </c>
      <c r="AJ19" s="470">
        <f>AJ10</f>
        <v>20.201757</v>
      </c>
      <c r="AK19" s="470">
        <f>AK10</f>
        <v>77.462454</v>
      </c>
      <c r="AL19" s="470">
        <f>AL10</f>
        <v>57.260698</v>
      </c>
      <c r="AM19" s="470">
        <f>AM10</f>
        <v>61.671605</v>
      </c>
      <c r="AN19" s="475">
        <f>AM19*52</f>
        <v>3206.92346</v>
      </c>
    </row>
    <row r="20" spans="33:40" ht="13.5" thickBot="1">
      <c r="AG20" s="471"/>
      <c r="AH20" s="472" t="s">
        <v>256</v>
      </c>
      <c r="AI20" s="473">
        <f>SUM(AI11:AI13)</f>
        <v>253</v>
      </c>
      <c r="AJ20" s="474">
        <f>SUMPRODUCT(AJ11:AJ13,$AI11:$AI13)/SUM($AI11:$AI13)</f>
        <v>19.965951454545454</v>
      </c>
      <c r="AK20" s="474">
        <f>SUMPRODUCT(AK11:AK13,$AI11:$AI13)/SUM($AI11:$AI13)</f>
        <v>75.66407858893281</v>
      </c>
      <c r="AL20" s="474">
        <f>SUMPRODUCT(AL11:AL13,$AI11:$AI13)/SUM($AI11:$AI13)</f>
        <v>55.69812713438735</v>
      </c>
      <c r="AM20" s="474">
        <f>SUMPRODUCT(AM11:AM13,$AI11:$AI13)/SUM($AI11:$AI13)</f>
        <v>57.43442605533597</v>
      </c>
      <c r="AN20" s="477">
        <f>AM20*52</f>
        <v>2986.5901548774705</v>
      </c>
    </row>
    <row r="22" spans="11:37" ht="12">
      <c r="K22" s="230"/>
      <c r="L22" s="230"/>
      <c r="M22" s="230"/>
      <c r="N22" s="230"/>
      <c r="O22" s="230"/>
      <c r="AH22" s="230"/>
      <c r="AI22" s="230"/>
      <c r="AJ22" s="230"/>
      <c r="AK22" s="230"/>
    </row>
    <row r="23" ht="16.5" thickBot="1">
      <c r="AG23" s="371" t="s">
        <v>290</v>
      </c>
    </row>
    <row r="24" spans="33:37" ht="12.75" thickBot="1">
      <c r="AG24" s="496" t="s">
        <v>257</v>
      </c>
      <c r="AH24" s="497" t="s">
        <v>258</v>
      </c>
      <c r="AI24" s="498" t="s">
        <v>237</v>
      </c>
      <c r="AJ24" s="498" t="s">
        <v>259</v>
      </c>
      <c r="AK24" s="499" t="s">
        <v>260</v>
      </c>
    </row>
    <row r="25" spans="33:37" ht="12">
      <c r="AG25" s="491" t="s">
        <v>155</v>
      </c>
      <c r="AH25" s="492">
        <v>6</v>
      </c>
      <c r="AI25" s="493">
        <v>6</v>
      </c>
      <c r="AJ25" s="494">
        <v>1</v>
      </c>
      <c r="AK25" s="495">
        <v>15</v>
      </c>
    </row>
    <row r="26" spans="13:37" ht="12">
      <c r="M26" s="230"/>
      <c r="N26" s="230"/>
      <c r="O26" s="230"/>
      <c r="P26" s="230"/>
      <c r="Q26" s="230"/>
      <c r="R26" s="230"/>
      <c r="AG26" s="478" t="s">
        <v>261</v>
      </c>
      <c r="AH26" s="481">
        <v>7190</v>
      </c>
      <c r="AI26" s="429">
        <v>26471</v>
      </c>
      <c r="AJ26" s="428">
        <v>0.27</v>
      </c>
      <c r="AK26" s="480">
        <v>18.4</v>
      </c>
    </row>
    <row r="27" spans="33:37" ht="12">
      <c r="AG27" s="478" t="s">
        <v>24</v>
      </c>
      <c r="AH27" s="479">
        <v>162</v>
      </c>
      <c r="AI27" s="427">
        <v>281</v>
      </c>
      <c r="AJ27" s="428">
        <v>0.58</v>
      </c>
      <c r="AK27" s="480">
        <v>14.4</v>
      </c>
    </row>
    <row r="28" spans="33:37" ht="12.75" thickBot="1">
      <c r="AG28" s="482" t="s">
        <v>262</v>
      </c>
      <c r="AH28" s="483">
        <v>6420</v>
      </c>
      <c r="AI28" s="484">
        <v>7350</v>
      </c>
      <c r="AJ28" s="485">
        <v>0.87</v>
      </c>
      <c r="AK28" s="486">
        <v>14.4</v>
      </c>
    </row>
    <row r="29" spans="33:37" ht="12.75" thickBot="1">
      <c r="AG29" s="487" t="s">
        <v>289</v>
      </c>
      <c r="AH29" s="488">
        <v>13778</v>
      </c>
      <c r="AI29" s="489">
        <v>34108</v>
      </c>
      <c r="AJ29" s="490">
        <v>0.4</v>
      </c>
      <c r="AK29" s="500">
        <f>SUMPRODUCT(AK25:AK28,AI25:AI28)/AI29</f>
        <v>17.504479887416444</v>
      </c>
    </row>
    <row r="30" ht="12">
      <c r="AG30" s="230" t="s">
        <v>263</v>
      </c>
    </row>
    <row r="31" ht="15.75">
      <c r="K31" s="371" t="s">
        <v>287</v>
      </c>
    </row>
    <row r="32" spans="11:18" s="607" customFormat="1" ht="30.75" customHeight="1">
      <c r="K32" s="755" t="s">
        <v>180</v>
      </c>
      <c r="L32" s="757" t="s">
        <v>95</v>
      </c>
      <c r="M32" s="753" t="s">
        <v>93</v>
      </c>
      <c r="N32" s="753" t="s">
        <v>131</v>
      </c>
      <c r="O32" s="753" t="s">
        <v>155</v>
      </c>
      <c r="P32" s="753" t="s">
        <v>261</v>
      </c>
      <c r="Q32" s="751" t="s">
        <v>24</v>
      </c>
      <c r="R32" s="751" t="s">
        <v>295</v>
      </c>
    </row>
    <row r="33" spans="11:18" s="607" customFormat="1" ht="30.75" customHeight="1" thickBot="1">
      <c r="K33" s="756"/>
      <c r="L33" s="758"/>
      <c r="M33" s="754"/>
      <c r="N33" s="754"/>
      <c r="O33" s="754"/>
      <c r="P33" s="754"/>
      <c r="Q33" s="752"/>
      <c r="R33" s="752"/>
    </row>
    <row r="34" spans="11:18" ht="26.25" thickTop="1">
      <c r="K34" s="577" t="s">
        <v>182</v>
      </c>
      <c r="L34" s="424" t="s">
        <v>183</v>
      </c>
      <c r="M34" s="425">
        <v>65</v>
      </c>
      <c r="N34" s="425">
        <v>200</v>
      </c>
      <c r="O34" s="616">
        <f>($N34-$M34)/1000*O$42</f>
        <v>0.09033667127071823</v>
      </c>
      <c r="P34" s="616">
        <f aca="true" t="shared" si="0" ref="O34:R36">($N34-$M34)/1000*P$42</f>
        <v>0.10337944469170988</v>
      </c>
      <c r="Q34" s="616">
        <f t="shared" si="0"/>
        <v>0.10400343653967108</v>
      </c>
      <c r="R34" s="616">
        <f t="shared" si="0"/>
        <v>0.08689811228633536</v>
      </c>
    </row>
    <row r="35" spans="11:24" ht="25.5">
      <c r="K35" s="572" t="s">
        <v>184</v>
      </c>
      <c r="L35" s="573" t="s">
        <v>185</v>
      </c>
      <c r="M35" s="574">
        <v>4</v>
      </c>
      <c r="N35" s="574">
        <v>25</v>
      </c>
      <c r="O35" s="617">
        <f t="shared" si="0"/>
        <v>0.01405237108655617</v>
      </c>
      <c r="P35" s="617">
        <f t="shared" si="0"/>
        <v>0.01608124695204376</v>
      </c>
      <c r="Q35" s="617">
        <f t="shared" si="0"/>
        <v>0.016178312350615502</v>
      </c>
      <c r="R35" s="617">
        <f t="shared" si="0"/>
        <v>0.013517484133429944</v>
      </c>
      <c r="X35" s="452"/>
    </row>
    <row r="36" spans="11:18" ht="25.5">
      <c r="K36" s="572" t="s">
        <v>186</v>
      </c>
      <c r="L36" s="573" t="s">
        <v>187</v>
      </c>
      <c r="M36" s="718">
        <f>M7</f>
        <v>19.965951454545454</v>
      </c>
      <c r="N36" s="718">
        <f>N7</f>
        <v>75.66407858893281</v>
      </c>
      <c r="O36" s="759">
        <f>($N36-$M36)/1000*O$42</f>
        <v>0.03727098815802831</v>
      </c>
      <c r="P36" s="759">
        <f>($N36-$M36)/1000*P$42</f>
        <v>0.042652158914972024</v>
      </c>
      <c r="Q36" s="748">
        <f t="shared" si="0"/>
        <v>0.042909604672591015</v>
      </c>
      <c r="R36" s="748">
        <f t="shared" si="0"/>
        <v>0.03585231189527833</v>
      </c>
    </row>
    <row r="37" spans="11:18" ht="12.75">
      <c r="K37" s="572" t="s">
        <v>188</v>
      </c>
      <c r="L37" s="573" t="s">
        <v>189</v>
      </c>
      <c r="M37" s="718"/>
      <c r="N37" s="718"/>
      <c r="O37" s="759"/>
      <c r="P37" s="759"/>
      <c r="Q37" s="749"/>
      <c r="R37" s="749"/>
    </row>
    <row r="38" spans="11:18" ht="38.25">
      <c r="K38" s="572" t="s">
        <v>190</v>
      </c>
      <c r="L38" s="573" t="s">
        <v>191</v>
      </c>
      <c r="M38" s="718"/>
      <c r="N38" s="718"/>
      <c r="O38" s="759"/>
      <c r="P38" s="759"/>
      <c r="Q38" s="749"/>
      <c r="R38" s="749"/>
    </row>
    <row r="39" spans="11:18" ht="38.25">
      <c r="K39" s="572" t="s">
        <v>190</v>
      </c>
      <c r="L39" s="573" t="s">
        <v>192</v>
      </c>
      <c r="M39" s="718"/>
      <c r="N39" s="718"/>
      <c r="O39" s="759"/>
      <c r="P39" s="759"/>
      <c r="Q39" s="749"/>
      <c r="R39" s="749"/>
    </row>
    <row r="40" spans="11:18" ht="38.25">
      <c r="K40" s="572" t="s">
        <v>190</v>
      </c>
      <c r="L40" s="573" t="s">
        <v>193</v>
      </c>
      <c r="M40" s="718"/>
      <c r="N40" s="718"/>
      <c r="O40" s="759"/>
      <c r="P40" s="759"/>
      <c r="Q40" s="749"/>
      <c r="R40" s="749"/>
    </row>
    <row r="41" spans="11:18" ht="38.25">
      <c r="K41" s="572" t="s">
        <v>190</v>
      </c>
      <c r="L41" s="573" t="s">
        <v>194</v>
      </c>
      <c r="M41" s="718"/>
      <c r="N41" s="718"/>
      <c r="O41" s="759"/>
      <c r="P41" s="759"/>
      <c r="Q41" s="750"/>
      <c r="R41" s="750"/>
    </row>
    <row r="42" spans="11:18" ht="12.75">
      <c r="K42" s="703" t="s">
        <v>157</v>
      </c>
      <c r="L42" s="703"/>
      <c r="M42" s="703"/>
      <c r="N42" s="703"/>
      <c r="O42" s="606">
        <f>D7</f>
        <v>0.6691605279312461</v>
      </c>
      <c r="P42" s="606">
        <f>D8</f>
        <v>0.7657736643830362</v>
      </c>
      <c r="Q42" s="606">
        <f>D9</f>
        <v>0.7703958262197858</v>
      </c>
      <c r="R42" s="606">
        <f>D10</f>
        <v>0.6436897206395211</v>
      </c>
    </row>
    <row r="45" ht="15.75">
      <c r="K45" s="371" t="s">
        <v>288</v>
      </c>
    </row>
    <row r="46" spans="11:18" s="607" customFormat="1" ht="28.5" customHeight="1">
      <c r="K46" s="755" t="s">
        <v>180</v>
      </c>
      <c r="L46" s="757" t="s">
        <v>95</v>
      </c>
      <c r="M46" s="753" t="s">
        <v>93</v>
      </c>
      <c r="N46" s="753" t="s">
        <v>131</v>
      </c>
      <c r="O46" s="753" t="s">
        <v>155</v>
      </c>
      <c r="P46" s="753" t="s">
        <v>261</v>
      </c>
      <c r="Q46" s="753" t="s">
        <v>24</v>
      </c>
      <c r="R46" s="753" t="s">
        <v>295</v>
      </c>
    </row>
    <row r="47" spans="11:18" s="607" customFormat="1" ht="28.5" customHeight="1" thickBot="1">
      <c r="K47" s="756"/>
      <c r="L47" s="758"/>
      <c r="M47" s="754"/>
      <c r="N47" s="754"/>
      <c r="O47" s="754"/>
      <c r="P47" s="754"/>
      <c r="Q47" s="754"/>
      <c r="R47" s="754"/>
    </row>
    <row r="48" spans="11:18" ht="26.25" thickTop="1">
      <c r="K48" s="577" t="s">
        <v>182</v>
      </c>
      <c r="L48" s="424" t="s">
        <v>183</v>
      </c>
      <c r="M48" s="425">
        <v>65</v>
      </c>
      <c r="N48" s="425">
        <v>200</v>
      </c>
      <c r="O48" s="426">
        <f aca="true" t="shared" si="1" ref="O48:R50">($N48-$M48)/1000*O$56</f>
        <v>330.70101886956525</v>
      </c>
      <c r="P48" s="426">
        <f t="shared" si="1"/>
        <v>503.50862756043625</v>
      </c>
      <c r="Q48" s="426">
        <f t="shared" si="1"/>
        <v>640.6195871559634</v>
      </c>
      <c r="R48" s="426">
        <f t="shared" si="1"/>
        <v>437.1957385915044</v>
      </c>
    </row>
    <row r="49" spans="11:18" ht="25.5">
      <c r="K49" s="572" t="s">
        <v>184</v>
      </c>
      <c r="L49" s="573" t="s">
        <v>185</v>
      </c>
      <c r="M49" s="574">
        <v>4</v>
      </c>
      <c r="N49" s="574">
        <v>25</v>
      </c>
      <c r="O49" s="575">
        <f t="shared" si="1"/>
        <v>51.44238071304348</v>
      </c>
      <c r="P49" s="575">
        <f t="shared" si="1"/>
        <v>78.32356428717897</v>
      </c>
      <c r="Q49" s="575">
        <f t="shared" si="1"/>
        <v>99.65193577981651</v>
      </c>
      <c r="R49" s="575">
        <f t="shared" si="1"/>
        <v>68.0082260031229</v>
      </c>
    </row>
    <row r="50" spans="11:18" ht="12.75" customHeight="1">
      <c r="K50" s="572" t="s">
        <v>186</v>
      </c>
      <c r="L50" s="573" t="s">
        <v>187</v>
      </c>
      <c r="M50" s="718">
        <f>M7</f>
        <v>19.965951454545454</v>
      </c>
      <c r="N50" s="718">
        <f>N7</f>
        <v>75.66407858893281</v>
      </c>
      <c r="O50" s="719">
        <f>($N50-$M50)/1000*O$56</f>
        <v>136.4402029071739</v>
      </c>
      <c r="P50" s="719">
        <f t="shared" si="1"/>
        <v>207.73694482312644</v>
      </c>
      <c r="Q50" s="719">
        <f t="shared" si="1"/>
        <v>264.3060089643821</v>
      </c>
      <c r="R50" s="719">
        <f t="shared" si="1"/>
        <v>180.37765800505176</v>
      </c>
    </row>
    <row r="51" spans="11:18" ht="12.75">
      <c r="K51" s="572" t="s">
        <v>188</v>
      </c>
      <c r="L51" s="573" t="s">
        <v>189</v>
      </c>
      <c r="M51" s="718"/>
      <c r="N51" s="718"/>
      <c r="O51" s="719"/>
      <c r="P51" s="719"/>
      <c r="Q51" s="719"/>
      <c r="R51" s="719"/>
    </row>
    <row r="52" spans="11:18" ht="25.5" customHeight="1">
      <c r="K52" s="572" t="s">
        <v>190</v>
      </c>
      <c r="L52" s="573" t="s">
        <v>191</v>
      </c>
      <c r="M52" s="718"/>
      <c r="N52" s="718"/>
      <c r="O52" s="719"/>
      <c r="P52" s="719"/>
      <c r="Q52" s="719"/>
      <c r="R52" s="719"/>
    </row>
    <row r="53" spans="11:18" ht="25.5" customHeight="1">
      <c r="K53" s="572" t="s">
        <v>190</v>
      </c>
      <c r="L53" s="573" t="s">
        <v>192</v>
      </c>
      <c r="M53" s="718"/>
      <c r="N53" s="718"/>
      <c r="O53" s="719"/>
      <c r="P53" s="719"/>
      <c r="Q53" s="719"/>
      <c r="R53" s="719"/>
    </row>
    <row r="54" spans="11:18" ht="25.5" customHeight="1">
      <c r="K54" s="572" t="s">
        <v>190</v>
      </c>
      <c r="L54" s="573" t="s">
        <v>193</v>
      </c>
      <c r="M54" s="718"/>
      <c r="N54" s="718"/>
      <c r="O54" s="719"/>
      <c r="P54" s="719"/>
      <c r="Q54" s="719"/>
      <c r="R54" s="719"/>
    </row>
    <row r="55" spans="11:18" ht="26.25" customHeight="1">
      <c r="K55" s="572" t="s">
        <v>190</v>
      </c>
      <c r="L55" s="573" t="s">
        <v>194</v>
      </c>
      <c r="M55" s="718"/>
      <c r="N55" s="718"/>
      <c r="O55" s="719"/>
      <c r="P55" s="719"/>
      <c r="Q55" s="719"/>
      <c r="R55" s="719"/>
    </row>
    <row r="56" spans="11:18" ht="12.75">
      <c r="K56" s="703" t="s">
        <v>195</v>
      </c>
      <c r="L56" s="703"/>
      <c r="M56" s="703"/>
      <c r="N56" s="703"/>
      <c r="O56" s="608">
        <f>C7</f>
        <v>2449.637176811594</v>
      </c>
      <c r="P56" s="608">
        <f>C8</f>
        <v>3729.6935374847126</v>
      </c>
      <c r="Q56" s="608">
        <f>C9</f>
        <v>4745.3302752293575</v>
      </c>
      <c r="R56" s="608">
        <f>C10</f>
        <v>3238.4869525296617</v>
      </c>
    </row>
  </sheetData>
  <mergeCells count="36">
    <mergeCell ref="Q50:Q55"/>
    <mergeCell ref="R50:R55"/>
    <mergeCell ref="K56:N56"/>
    <mergeCell ref="M50:M55"/>
    <mergeCell ref="N50:N55"/>
    <mergeCell ref="O50:O55"/>
    <mergeCell ref="P50:P55"/>
    <mergeCell ref="O46:O47"/>
    <mergeCell ref="P46:P47"/>
    <mergeCell ref="Q46:Q47"/>
    <mergeCell ref="R46:R47"/>
    <mergeCell ref="K42:N42"/>
    <mergeCell ref="K46:K47"/>
    <mergeCell ref="L46:L47"/>
    <mergeCell ref="M46:M47"/>
    <mergeCell ref="N46:N47"/>
    <mergeCell ref="M36:M41"/>
    <mergeCell ref="N36:N41"/>
    <mergeCell ref="O36:O41"/>
    <mergeCell ref="P36:P41"/>
    <mergeCell ref="K32:K33"/>
    <mergeCell ref="L32:L33"/>
    <mergeCell ref="M32:M33"/>
    <mergeCell ref="N32:N33"/>
    <mergeCell ref="Q36:Q41"/>
    <mergeCell ref="R32:R33"/>
    <mergeCell ref="Q32:Q33"/>
    <mergeCell ref="O32:O33"/>
    <mergeCell ref="P32:P33"/>
    <mergeCell ref="R36:R41"/>
    <mergeCell ref="B4:B6"/>
    <mergeCell ref="C4:C6"/>
    <mergeCell ref="D4:D6"/>
    <mergeCell ref="E4:H4"/>
    <mergeCell ref="E5:F5"/>
    <mergeCell ref="G5:H5"/>
  </mergeCells>
  <conditionalFormatting sqref="K48:L55 M48:R50 K34:L41 M34:R36">
    <cfRule type="expression" priority="1" dxfId="0" stopIfTrue="1">
      <formula>MOD(ROW(),2)=1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5"/>
  <sheetViews>
    <sheetView workbookViewId="0" topLeftCell="A1">
      <selection activeCell="J34" sqref="J34"/>
    </sheetView>
  </sheetViews>
  <sheetFormatPr defaultColWidth="9.140625" defaultRowHeight="12.75"/>
  <cols>
    <col min="1" max="1" width="9.140625" style="72" customWidth="1"/>
    <col min="2" max="2" width="17.00390625" style="72" customWidth="1"/>
    <col min="3" max="3" width="7.7109375" style="72" customWidth="1"/>
    <col min="4" max="4" width="6.28125" style="72" customWidth="1"/>
    <col min="5" max="5" width="6.7109375" style="72" customWidth="1"/>
    <col min="6" max="6" width="5.421875" style="72" customWidth="1"/>
    <col min="7" max="7" width="7.421875" style="72" customWidth="1"/>
    <col min="8" max="8" width="5.8515625" style="72" customWidth="1"/>
    <col min="9" max="10" width="9.140625" style="72" customWidth="1"/>
    <col min="11" max="11" width="42.00390625" style="72" customWidth="1"/>
    <col min="12" max="12" width="15.421875" style="72" customWidth="1"/>
    <col min="13" max="13" width="10.28125" style="72" bestFit="1" customWidth="1"/>
    <col min="14" max="14" width="12.57421875" style="72" customWidth="1"/>
    <col min="15" max="15" width="11.140625" style="72" bestFit="1" customWidth="1"/>
    <col min="16" max="17" width="9.140625" style="72" customWidth="1"/>
    <col min="18" max="18" width="10.7109375" style="72" customWidth="1"/>
    <col min="19" max="19" width="10.140625" style="72" customWidth="1"/>
    <col min="20" max="20" width="11.57421875" style="72" customWidth="1"/>
    <col min="21" max="21" width="15.57421875" style="72" customWidth="1"/>
    <col min="22" max="16384" width="9.140625" style="72" customWidth="1"/>
  </cols>
  <sheetData>
    <row r="2" ht="16.5" thickBot="1">
      <c r="B2" s="371" t="s">
        <v>229</v>
      </c>
    </row>
    <row r="3" spans="10:15" ht="12" thickBot="1">
      <c r="J3" s="248" t="s">
        <v>94</v>
      </c>
      <c r="K3" s="249" t="s">
        <v>95</v>
      </c>
      <c r="L3" s="250" t="s">
        <v>92</v>
      </c>
      <c r="M3" s="250" t="s">
        <v>93</v>
      </c>
      <c r="N3" s="251" t="s">
        <v>151</v>
      </c>
      <c r="O3" s="136"/>
    </row>
    <row r="4" spans="2:22" ht="12.75">
      <c r="B4" s="658" t="s">
        <v>1</v>
      </c>
      <c r="C4" s="661" t="s">
        <v>47</v>
      </c>
      <c r="D4" s="661" t="s">
        <v>48</v>
      </c>
      <c r="E4" s="666" t="s">
        <v>91</v>
      </c>
      <c r="F4" s="666"/>
      <c r="G4" s="666"/>
      <c r="H4" s="667"/>
      <c r="J4" s="372" t="s">
        <v>84</v>
      </c>
      <c r="K4" s="373" t="s">
        <v>96</v>
      </c>
      <c r="L4" s="374">
        <f>O19</f>
        <v>123</v>
      </c>
      <c r="M4" s="82">
        <f>U15</f>
        <v>99.68856326771818</v>
      </c>
      <c r="N4" s="375">
        <f>+L4-M4</f>
        <v>23.31143673228182</v>
      </c>
      <c r="O4" s="137"/>
      <c r="P4"/>
      <c r="Q4"/>
      <c r="R4" t="s">
        <v>88</v>
      </c>
      <c r="S4"/>
      <c r="T4"/>
      <c r="U4"/>
      <c r="V4"/>
    </row>
    <row r="5" spans="2:23" ht="14.25" customHeight="1" thickBot="1">
      <c r="B5" s="659"/>
      <c r="C5" s="662"/>
      <c r="D5" s="662"/>
      <c r="E5" s="668" t="s">
        <v>84</v>
      </c>
      <c r="F5" s="668"/>
      <c r="G5" s="668" t="s">
        <v>86</v>
      </c>
      <c r="H5" s="669"/>
      <c r="J5" s="244" t="s">
        <v>86</v>
      </c>
      <c r="K5" s="245" t="s">
        <v>97</v>
      </c>
      <c r="L5" s="246">
        <f>O20</f>
        <v>226.02999999999997</v>
      </c>
      <c r="M5" s="246">
        <f>U16</f>
        <v>106.88838152883467</v>
      </c>
      <c r="N5" s="247">
        <f>+L5-M5</f>
        <v>119.1416184711653</v>
      </c>
      <c r="O5" s="137"/>
      <c r="P5"/>
      <c r="Q5"/>
      <c r="R5" s="108" t="s">
        <v>75</v>
      </c>
      <c r="S5" s="108"/>
      <c r="T5" s="108"/>
      <c r="U5" s="108"/>
      <c r="V5" s="108"/>
      <c r="W5" s="109"/>
    </row>
    <row r="6" spans="2:22" ht="13.5" thickBot="1">
      <c r="B6" s="660"/>
      <c r="C6" s="663"/>
      <c r="D6" s="663"/>
      <c r="E6" s="73" t="s">
        <v>89</v>
      </c>
      <c r="F6" s="73" t="s">
        <v>90</v>
      </c>
      <c r="G6" s="73" t="s">
        <v>89</v>
      </c>
      <c r="H6" s="74" t="s">
        <v>90</v>
      </c>
      <c r="J6" s="368"/>
      <c r="K6" s="369"/>
      <c r="L6" s="92"/>
      <c r="M6" s="92"/>
      <c r="N6" s="370"/>
      <c r="O6" s="137"/>
      <c r="P6"/>
      <c r="Q6"/>
      <c r="R6" s="641" t="s">
        <v>56</v>
      </c>
      <c r="S6" s="636" t="s">
        <v>77</v>
      </c>
      <c r="T6" s="636" t="s">
        <v>78</v>
      </c>
      <c r="U6" s="632" t="s">
        <v>79</v>
      </c>
      <c r="V6" s="26"/>
    </row>
    <row r="7" spans="2:22" ht="18.75" thickBot="1">
      <c r="B7" s="80" t="s">
        <v>9</v>
      </c>
      <c r="C7" s="170">
        <f>'hours and cf'!C6</f>
        <v>5544.496864111498</v>
      </c>
      <c r="D7" s="75">
        <f>'hours and cf'!D6</f>
        <v>0.919436887555068</v>
      </c>
      <c r="E7" s="81">
        <f aca="true" t="shared" si="0" ref="E7:E21">$N$4*D7/1000</f>
        <v>0.021433394833566082</v>
      </c>
      <c r="F7" s="82">
        <f aca="true" t="shared" si="1" ref="F7:F21">$N$4*C7/1000</f>
        <v>129.25018786007016</v>
      </c>
      <c r="G7" s="81">
        <f aca="true" t="shared" si="2" ref="G7:G21">$N$5*D7/1000</f>
        <v>0.10954319886540162</v>
      </c>
      <c r="H7" s="83">
        <f aca="true" t="shared" si="3" ref="H7:H21">$N$5*C7/1000</f>
        <v>660.5803299985446</v>
      </c>
      <c r="J7"/>
      <c r="L7" s="108"/>
      <c r="M7" s="108"/>
      <c r="N7" s="25"/>
      <c r="O7"/>
      <c r="P7"/>
      <c r="Q7"/>
      <c r="R7" s="642"/>
      <c r="S7" s="614"/>
      <c r="T7" s="614"/>
      <c r="U7" s="633"/>
      <c r="V7" s="26"/>
    </row>
    <row r="8" spans="2:22" ht="13.5" thickBot="1">
      <c r="B8" s="84" t="s">
        <v>11</v>
      </c>
      <c r="C8" s="218">
        <f>'hours and cf'!C7</f>
        <v>4482.455981416957</v>
      </c>
      <c r="D8" s="76">
        <f>'hours and cf'!D7</f>
        <v>0.8403721922666595</v>
      </c>
      <c r="E8" s="85">
        <f t="shared" si="0"/>
        <v>0.019590283191593203</v>
      </c>
      <c r="F8" s="96">
        <f t="shared" si="1"/>
        <v>104.4924890160396</v>
      </c>
      <c r="G8" s="85">
        <f t="shared" si="2"/>
        <v>0.10012330310481111</v>
      </c>
      <c r="H8" s="97">
        <f t="shared" si="3"/>
        <v>534.0470603517718</v>
      </c>
      <c r="J8"/>
      <c r="K8" s="108" t="s">
        <v>63</v>
      </c>
      <c r="L8" s="26"/>
      <c r="M8" s="664" t="s">
        <v>64</v>
      </c>
      <c r="N8" s="665"/>
      <c r="O8"/>
      <c r="P8"/>
      <c r="Q8"/>
      <c r="R8" s="56" t="s">
        <v>84</v>
      </c>
      <c r="S8" s="57">
        <v>8</v>
      </c>
      <c r="T8" s="58">
        <v>0.22</v>
      </c>
      <c r="U8" s="59">
        <v>0.8</v>
      </c>
      <c r="V8" s="26"/>
    </row>
    <row r="9" spans="2:22" ht="13.5" thickBot="1">
      <c r="B9" s="84" t="s">
        <v>13</v>
      </c>
      <c r="C9" s="218">
        <f>'hours and cf'!C8</f>
        <v>3677.4786171063142</v>
      </c>
      <c r="D9" s="76">
        <f>'hours and cf'!D8</f>
        <v>0.7816105403329625</v>
      </c>
      <c r="E9" s="81">
        <f t="shared" si="0"/>
        <v>0.018220464660256463</v>
      </c>
      <c r="F9" s="82">
        <f t="shared" si="1"/>
        <v>85.7273101169931</v>
      </c>
      <c r="G9" s="81">
        <f t="shared" si="2"/>
        <v>0.09312234478939117</v>
      </c>
      <c r="H9" s="83">
        <f t="shared" si="3"/>
        <v>438.1407543351491</v>
      </c>
      <c r="J9"/>
      <c r="K9" s="38" t="s">
        <v>65</v>
      </c>
      <c r="L9" s="39" t="s">
        <v>66</v>
      </c>
      <c r="M9" s="40" t="s">
        <v>67</v>
      </c>
      <c r="N9" s="37" t="s">
        <v>68</v>
      </c>
      <c r="O9"/>
      <c r="P9"/>
      <c r="Q9"/>
      <c r="R9" s="64" t="s">
        <v>86</v>
      </c>
      <c r="S9" s="65">
        <v>26</v>
      </c>
      <c r="T9" s="66">
        <v>0.46</v>
      </c>
      <c r="U9" s="67">
        <v>0.87</v>
      </c>
      <c r="V9" s="26"/>
    </row>
    <row r="10" spans="2:22" ht="12.75">
      <c r="B10" s="84" t="s">
        <v>15</v>
      </c>
      <c r="C10" s="218">
        <f>'hours and cf'!C9</f>
        <v>3355.9109900090825</v>
      </c>
      <c r="D10" s="76">
        <f>'hours and cf'!D9</f>
        <v>0.34947188256217815</v>
      </c>
      <c r="E10" s="85">
        <f t="shared" si="0"/>
        <v>0.008146691680059638</v>
      </c>
      <c r="F10" s="96">
        <f t="shared" si="1"/>
        <v>78.23110672276597</v>
      </c>
      <c r="G10" s="85">
        <f t="shared" si="2"/>
        <v>0.041636645698622916</v>
      </c>
      <c r="H10" s="97">
        <f t="shared" si="3"/>
        <v>399.8286667948528</v>
      </c>
      <c r="J10"/>
      <c r="K10" s="41" t="s">
        <v>69</v>
      </c>
      <c r="L10" s="42" t="s">
        <v>70</v>
      </c>
      <c r="M10" s="43">
        <v>0.08</v>
      </c>
      <c r="N10" s="44">
        <v>0.92</v>
      </c>
      <c r="O10"/>
      <c r="P10"/>
      <c r="Q10"/>
      <c r="R10"/>
      <c r="S10"/>
      <c r="T10"/>
      <c r="U10"/>
      <c r="V10"/>
    </row>
    <row r="11" spans="2:22" ht="12.75">
      <c r="B11" s="84" t="s">
        <v>17</v>
      </c>
      <c r="C11" s="218">
        <f>'hours and cf'!C10</f>
        <v>3525.559930313588</v>
      </c>
      <c r="D11" s="76">
        <f>'hours and cf'!D10</f>
        <v>0.7656622102276223</v>
      </c>
      <c r="E11" s="81">
        <f t="shared" si="0"/>
        <v>0.01784868617202028</v>
      </c>
      <c r="F11" s="82">
        <f t="shared" si="1"/>
        <v>82.18586726137312</v>
      </c>
      <c r="G11" s="81">
        <f t="shared" si="2"/>
        <v>0.09122223492872852</v>
      </c>
      <c r="H11" s="83">
        <f t="shared" si="3"/>
        <v>420.0409161146497</v>
      </c>
      <c r="J11"/>
      <c r="K11" s="45" t="s">
        <v>71</v>
      </c>
      <c r="L11" s="46" t="s">
        <v>70</v>
      </c>
      <c r="M11" s="47">
        <v>0.15</v>
      </c>
      <c r="N11" s="48">
        <v>0.85</v>
      </c>
      <c r="O11"/>
      <c r="P11"/>
      <c r="Q11"/>
      <c r="R11"/>
      <c r="S11"/>
      <c r="T11"/>
      <c r="U11"/>
      <c r="V11"/>
    </row>
    <row r="12" spans="2:22" ht="13.5" thickBot="1">
      <c r="B12" s="84" t="s">
        <v>18</v>
      </c>
      <c r="C12" s="218">
        <f>'hours and cf'!C11</f>
        <v>2728.677489177489</v>
      </c>
      <c r="D12" s="76">
        <f>'hours and cf'!D11</f>
        <v>0.6662216188257628</v>
      </c>
      <c r="E12" s="85">
        <f t="shared" si="0"/>
        <v>0.015530583116935144</v>
      </c>
      <c r="F12" s="96">
        <f t="shared" si="1"/>
        <v>63.60939265176265</v>
      </c>
      <c r="G12" s="85">
        <f t="shared" si="2"/>
        <v>0.07937472192738114</v>
      </c>
      <c r="H12" s="97">
        <f t="shared" si="3"/>
        <v>325.0990523464417</v>
      </c>
      <c r="J12"/>
      <c r="K12" s="49" t="s">
        <v>72</v>
      </c>
      <c r="L12" s="50" t="s">
        <v>73</v>
      </c>
      <c r="M12" s="51">
        <v>0.1</v>
      </c>
      <c r="N12" s="52">
        <v>0.9</v>
      </c>
      <c r="O12"/>
      <c r="P12"/>
      <c r="Q12"/>
      <c r="R12" s="108" t="s">
        <v>76</v>
      </c>
      <c r="S12" s="108"/>
      <c r="T12" s="108"/>
      <c r="U12" s="108"/>
      <c r="V12" s="109"/>
    </row>
    <row r="13" spans="2:22" ht="13.5" thickBot="1">
      <c r="B13" s="84" t="s">
        <v>49</v>
      </c>
      <c r="C13" s="218">
        <f>'hours and cf'!C12</f>
        <v>3425.1238805970147</v>
      </c>
      <c r="D13" s="76">
        <f>'hours and cf'!D12</f>
        <v>0.635</v>
      </c>
      <c r="E13" s="81">
        <f t="shared" si="0"/>
        <v>0.014802762324998955</v>
      </c>
      <c r="F13" s="82">
        <f t="shared" si="1"/>
        <v>79.8445586427649</v>
      </c>
      <c r="G13" s="81">
        <f t="shared" si="2"/>
        <v>0.07565492772918997</v>
      </c>
      <c r="H13" s="83">
        <f t="shared" si="3"/>
        <v>408.0748025985667</v>
      </c>
      <c r="J13"/>
      <c r="K13" s="26"/>
      <c r="L13" s="53" t="s">
        <v>74</v>
      </c>
      <c r="M13" s="54">
        <v>0.11</v>
      </c>
      <c r="N13" s="55">
        <v>0.89</v>
      </c>
      <c r="O13"/>
      <c r="P13"/>
      <c r="Q13"/>
      <c r="R13" s="641" t="s">
        <v>80</v>
      </c>
      <c r="S13" s="636" t="s">
        <v>81</v>
      </c>
      <c r="T13" s="636" t="s">
        <v>82</v>
      </c>
      <c r="U13" s="632" t="s">
        <v>83</v>
      </c>
      <c r="V13"/>
    </row>
    <row r="14" spans="2:22" ht="15.75" customHeight="1" thickBot="1">
      <c r="B14" s="84" t="s">
        <v>20</v>
      </c>
      <c r="C14" s="218">
        <f>'hours and cf'!C13</f>
        <v>4225.849196263871</v>
      </c>
      <c r="D14" s="76">
        <f>'hours and cf'!D13</f>
        <v>0.8446352773569024</v>
      </c>
      <c r="E14" s="85">
        <f t="shared" si="0"/>
        <v>0.019689661829958738</v>
      </c>
      <c r="F14" s="96">
        <f t="shared" si="1"/>
        <v>98.51061617886921</v>
      </c>
      <c r="G14" s="85">
        <f t="shared" si="2"/>
        <v>0.10063121396214295</v>
      </c>
      <c r="H14" s="97">
        <f t="shared" si="3"/>
        <v>503.47451265795064</v>
      </c>
      <c r="J14"/>
      <c r="K14"/>
      <c r="L14"/>
      <c r="M14"/>
      <c r="N14"/>
      <c r="O14"/>
      <c r="P14"/>
      <c r="Q14"/>
      <c r="R14" s="642"/>
      <c r="S14" s="614"/>
      <c r="T14" s="614"/>
      <c r="U14" s="633"/>
      <c r="V14"/>
    </row>
    <row r="15" spans="2:22" ht="12.75">
      <c r="B15" s="84" t="s">
        <v>21</v>
      </c>
      <c r="C15" s="218">
        <f>'hours and cf'!C14</f>
        <v>3464.4046762589924</v>
      </c>
      <c r="D15" s="76">
        <f>'hours and cf'!D14</f>
        <v>0.7896801654747687</v>
      </c>
      <c r="E15" s="81">
        <f t="shared" si="0"/>
        <v>0.01840857921620291</v>
      </c>
      <c r="F15" s="82">
        <f t="shared" si="1"/>
        <v>80.76025042563278</v>
      </c>
      <c r="G15" s="81">
        <f t="shared" si="2"/>
        <v>0.09408377298924159</v>
      </c>
      <c r="H15" s="83">
        <f t="shared" si="3"/>
        <v>412.7547801685698</v>
      </c>
      <c r="J15"/>
      <c r="K15"/>
      <c r="L15"/>
      <c r="M15"/>
      <c r="N15"/>
      <c r="O15"/>
      <c r="P15"/>
      <c r="Q15"/>
      <c r="R15" s="60" t="s">
        <v>85</v>
      </c>
      <c r="S15" s="61">
        <f>U8</f>
        <v>0.8</v>
      </c>
      <c r="T15" s="62">
        <v>124.61070408464772</v>
      </c>
      <c r="U15" s="63">
        <f>T15*S15</f>
        <v>99.68856326771818</v>
      </c>
      <c r="V15"/>
    </row>
    <row r="16" spans="2:22" ht="15" customHeight="1" thickBot="1">
      <c r="B16" s="84" t="s">
        <v>22</v>
      </c>
      <c r="C16" s="218">
        <f>'hours and cf'!C15</f>
        <v>2301.6893571042683</v>
      </c>
      <c r="D16" s="76">
        <f>'hours and cf'!D15</f>
        <v>0.5244094785754665</v>
      </c>
      <c r="E16" s="85">
        <f t="shared" si="0"/>
        <v>0.012224738381620887</v>
      </c>
      <c r="F16" s="96">
        <f t="shared" si="1"/>
        <v>53.655685825502566</v>
      </c>
      <c r="G16" s="85">
        <f t="shared" si="2"/>
        <v>0.06247899401910097</v>
      </c>
      <c r="H16" s="97">
        <f t="shared" si="3"/>
        <v>274.2269952232585</v>
      </c>
      <c r="J16"/>
      <c r="L16" s="108"/>
      <c r="M16" s="108"/>
      <c r="N16" s="25"/>
      <c r="O16" s="25"/>
      <c r="P16"/>
      <c r="Q16"/>
      <c r="R16" s="68" t="s">
        <v>87</v>
      </c>
      <c r="S16" s="69">
        <f>U9</f>
        <v>0.87</v>
      </c>
      <c r="T16" s="70">
        <v>122.86020865383296</v>
      </c>
      <c r="U16" s="71">
        <f>T16*S16</f>
        <v>106.88838152883467</v>
      </c>
      <c r="V16"/>
    </row>
    <row r="17" spans="2:22" ht="13.5" thickBot="1">
      <c r="B17" s="84" t="s">
        <v>23</v>
      </c>
      <c r="C17" s="218">
        <f>'hours and cf'!C16</f>
        <v>3900</v>
      </c>
      <c r="D17" s="76">
        <f>'hours and cf'!D16</f>
        <v>0.68</v>
      </c>
      <c r="E17" s="81">
        <f t="shared" si="0"/>
        <v>0.015851776977951638</v>
      </c>
      <c r="F17" s="82">
        <f t="shared" si="1"/>
        <v>90.9146032558991</v>
      </c>
      <c r="G17" s="81">
        <f t="shared" si="2"/>
        <v>0.08101630056039241</v>
      </c>
      <c r="H17" s="83">
        <f t="shared" si="3"/>
        <v>464.6523120375447</v>
      </c>
      <c r="J17"/>
      <c r="K17" s="108" t="s">
        <v>52</v>
      </c>
      <c r="L17" s="26"/>
      <c r="M17" s="26"/>
      <c r="N17" s="26"/>
      <c r="O17" s="26"/>
      <c r="P17"/>
      <c r="Q17"/>
      <c r="R17"/>
      <c r="S17"/>
      <c r="T17"/>
      <c r="U17"/>
      <c r="V17"/>
    </row>
    <row r="18" spans="2:22" ht="13.5" thickBot="1">
      <c r="B18" s="84" t="s">
        <v>142</v>
      </c>
      <c r="C18" s="218">
        <f>'hours and cf'!C17</f>
        <v>986</v>
      </c>
      <c r="D18" s="76">
        <f>'hours and cf'!D17</f>
        <v>0.07</v>
      </c>
      <c r="E18" s="85">
        <f t="shared" si="0"/>
        <v>0.0016318005712597275</v>
      </c>
      <c r="F18" s="96">
        <f t="shared" si="1"/>
        <v>22.985076618029876</v>
      </c>
      <c r="G18" s="85">
        <f t="shared" si="2"/>
        <v>0.008339913292981572</v>
      </c>
      <c r="H18" s="97">
        <f t="shared" si="3"/>
        <v>117.47363581256899</v>
      </c>
      <c r="J18"/>
      <c r="K18" s="27" t="s">
        <v>53</v>
      </c>
      <c r="L18" s="28" t="s">
        <v>54</v>
      </c>
      <c r="M18" s="28" t="s">
        <v>55</v>
      </c>
      <c r="N18" s="28" t="s">
        <v>56</v>
      </c>
      <c r="O18" s="29" t="s">
        <v>57</v>
      </c>
      <c r="P18"/>
      <c r="Q18"/>
      <c r="R18" t="s">
        <v>230</v>
      </c>
      <c r="S18"/>
      <c r="T18"/>
      <c r="U18"/>
      <c r="V18"/>
    </row>
    <row r="19" spans="2:22" ht="12.75">
      <c r="B19" s="84" t="s">
        <v>24</v>
      </c>
      <c r="C19" s="218">
        <f>'hours and cf'!C18</f>
        <v>4745.3302752293575</v>
      </c>
      <c r="D19" s="76">
        <f>'hours and cf'!D18</f>
        <v>0.7703958262197858</v>
      </c>
      <c r="E19" s="81">
        <f t="shared" si="0"/>
        <v>0.017959033561736514</v>
      </c>
      <c r="F19" s="82">
        <f t="shared" si="1"/>
        <v>110.62046648479064</v>
      </c>
      <c r="G19" s="81">
        <f t="shared" si="2"/>
        <v>0.09178620559925588</v>
      </c>
      <c r="H19" s="83">
        <f t="shared" si="3"/>
        <v>565.3663291710459</v>
      </c>
      <c r="J19"/>
      <c r="K19" s="30" t="s">
        <v>51</v>
      </c>
      <c r="L19" s="31">
        <f>M33</f>
        <v>123</v>
      </c>
      <c r="M19" s="31" t="s">
        <v>58</v>
      </c>
      <c r="N19" s="31" t="s">
        <v>59</v>
      </c>
      <c r="O19" s="32">
        <v>123</v>
      </c>
      <c r="P19"/>
      <c r="Q19"/>
      <c r="R19" t="s">
        <v>231</v>
      </c>
      <c r="S19"/>
      <c r="T19"/>
      <c r="U19"/>
      <c r="V19"/>
    </row>
    <row r="20" spans="2:22" ht="12.75">
      <c r="B20" s="84" t="s">
        <v>50</v>
      </c>
      <c r="C20" s="218">
        <f>'hours and cf'!C19</f>
        <v>4698.114640883978</v>
      </c>
      <c r="D20" s="76">
        <f>'hours and cf'!D19</f>
        <v>0.6691605279312461</v>
      </c>
      <c r="E20" s="85">
        <f t="shared" si="0"/>
        <v>0.015599093310609545</v>
      </c>
      <c r="F20" s="96">
        <f t="shared" si="1"/>
        <v>109.51980221197377</v>
      </c>
      <c r="G20" s="85">
        <f t="shared" si="2"/>
        <v>0.07972486831474808</v>
      </c>
      <c r="H20" s="97">
        <f t="shared" si="3"/>
        <v>559.7409820779947</v>
      </c>
      <c r="J20"/>
      <c r="K20" s="33" t="s">
        <v>60</v>
      </c>
      <c r="L20" s="34">
        <f>M34</f>
        <v>207</v>
      </c>
      <c r="M20" s="171">
        <f>N13</f>
        <v>0.89</v>
      </c>
      <c r="N20" s="670" t="s">
        <v>61</v>
      </c>
      <c r="O20" s="672">
        <f>M20*L20+M21*L21</f>
        <v>226.02999999999997</v>
      </c>
      <c r="P20"/>
      <c r="Q20"/>
      <c r="R20" s="221" t="s">
        <v>232</v>
      </c>
      <c r="S20"/>
      <c r="T20"/>
      <c r="U20"/>
      <c r="V20"/>
    </row>
    <row r="21" spans="2:22" ht="13.5" thickBot="1">
      <c r="B21" s="98" t="s">
        <v>25</v>
      </c>
      <c r="C21" s="219">
        <f>'hours and cf'!C20</f>
        <v>3672.394884092725</v>
      </c>
      <c r="D21" s="99">
        <f>'hours and cf'!D20</f>
        <v>0.6662216188257628</v>
      </c>
      <c r="E21" s="86">
        <f t="shared" si="0"/>
        <v>0.015530583116935144</v>
      </c>
      <c r="F21" s="87">
        <f t="shared" si="1"/>
        <v>85.60880099648298</v>
      </c>
      <c r="G21" s="86">
        <f t="shared" si="2"/>
        <v>0.07937472192738114</v>
      </c>
      <c r="H21" s="88">
        <f t="shared" si="3"/>
        <v>437.5350701560348</v>
      </c>
      <c r="J21"/>
      <c r="K21" s="35" t="s">
        <v>62</v>
      </c>
      <c r="L21" s="36">
        <f>M35</f>
        <v>380</v>
      </c>
      <c r="M21" s="172">
        <f>M13</f>
        <v>0.11</v>
      </c>
      <c r="N21" s="671"/>
      <c r="O21" s="673"/>
      <c r="P21"/>
      <c r="Q21"/>
      <c r="R21" s="220"/>
      <c r="S21"/>
      <c r="T21"/>
      <c r="U21"/>
      <c r="V21"/>
    </row>
    <row r="22" spans="10:22" ht="12.75"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0:22" ht="12.75"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0:22" ht="13.5" thickBot="1"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0:22" ht="15.75">
      <c r="J25"/>
      <c r="K25"/>
      <c r="L25" s="154" t="s">
        <v>170</v>
      </c>
      <c r="M25" s="155"/>
      <c r="N25"/>
      <c r="O25"/>
      <c r="P25"/>
      <c r="Q25"/>
      <c r="R25"/>
      <c r="S25"/>
      <c r="T25"/>
      <c r="U25"/>
      <c r="V25"/>
    </row>
    <row r="26" spans="10:22" ht="12.75">
      <c r="J26"/>
      <c r="K26"/>
      <c r="L26" s="156" t="s">
        <v>53</v>
      </c>
      <c r="M26" s="157" t="s">
        <v>98</v>
      </c>
      <c r="N26"/>
      <c r="O26"/>
      <c r="P26"/>
      <c r="Q26"/>
      <c r="R26"/>
      <c r="S26"/>
      <c r="T26"/>
      <c r="U26"/>
      <c r="V26"/>
    </row>
    <row r="27" spans="10:15" ht="12.75">
      <c r="J27"/>
      <c r="K27"/>
      <c r="L27" s="158" t="s">
        <v>171</v>
      </c>
      <c r="M27" s="159">
        <v>42</v>
      </c>
      <c r="N27"/>
      <c r="O27"/>
    </row>
    <row r="28" spans="10:15" ht="12.75">
      <c r="J28"/>
      <c r="K28"/>
      <c r="L28" s="158" t="s">
        <v>172</v>
      </c>
      <c r="M28" s="159">
        <v>72</v>
      </c>
      <c r="N28"/>
      <c r="O28"/>
    </row>
    <row r="29" spans="12:13" ht="11.25" customHeight="1">
      <c r="L29" s="158" t="s">
        <v>173</v>
      </c>
      <c r="M29" s="159">
        <v>115</v>
      </c>
    </row>
    <row r="30" spans="12:13" ht="12" customHeight="1">
      <c r="L30" s="158" t="s">
        <v>174</v>
      </c>
      <c r="M30" s="159">
        <v>144</v>
      </c>
    </row>
    <row r="31" spans="12:13" ht="12.75">
      <c r="L31" s="160" t="s">
        <v>175</v>
      </c>
      <c r="M31" s="161">
        <v>122</v>
      </c>
    </row>
    <row r="32" spans="12:13" ht="12.75">
      <c r="L32" s="158" t="s">
        <v>176</v>
      </c>
      <c r="M32" s="159">
        <v>205</v>
      </c>
    </row>
    <row r="33" spans="12:13" ht="12.75">
      <c r="L33" s="158" t="s">
        <v>177</v>
      </c>
      <c r="M33" s="159">
        <v>123</v>
      </c>
    </row>
    <row r="34" spans="12:13" ht="12.75">
      <c r="L34" s="158" t="s">
        <v>178</v>
      </c>
      <c r="M34" s="159">
        <v>207</v>
      </c>
    </row>
    <row r="35" spans="12:13" ht="13.5" thickBot="1">
      <c r="L35" s="162" t="s">
        <v>179</v>
      </c>
      <c r="M35" s="163">
        <v>380</v>
      </c>
    </row>
    <row r="49" ht="11.25" customHeight="1"/>
    <row r="50" ht="12" customHeight="1"/>
  </sheetData>
  <mergeCells count="17">
    <mergeCell ref="N20:N21"/>
    <mergeCell ref="O20:O21"/>
    <mergeCell ref="R13:R14"/>
    <mergeCell ref="S13:S14"/>
    <mergeCell ref="T13:T14"/>
    <mergeCell ref="U13:U14"/>
    <mergeCell ref="R6:R7"/>
    <mergeCell ref="S6:S7"/>
    <mergeCell ref="T6:T7"/>
    <mergeCell ref="U6:U7"/>
    <mergeCell ref="B4:B6"/>
    <mergeCell ref="C4:C6"/>
    <mergeCell ref="D4:D6"/>
    <mergeCell ref="M8:N8"/>
    <mergeCell ref="E4:H4"/>
    <mergeCell ref="E5:F5"/>
    <mergeCell ref="G5:H5"/>
  </mergeCells>
  <conditionalFormatting sqref="B7:D21 R15:U16 K19:O21 K10:N12 R8:U9">
    <cfRule type="expression" priority="1" dxfId="0" stopIfTrue="1">
      <formula>MOD(ROW(),2)=1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S47"/>
  <sheetViews>
    <sheetView workbookViewId="0" topLeftCell="A1">
      <selection activeCell="Z28" sqref="Z28"/>
    </sheetView>
  </sheetViews>
  <sheetFormatPr defaultColWidth="9.140625" defaultRowHeight="12.75"/>
  <cols>
    <col min="2" max="2" width="14.28125" style="0" customWidth="1"/>
    <col min="3" max="3" width="5.7109375" style="0" bestFit="1" customWidth="1"/>
    <col min="4" max="4" width="4.140625" style="0" bestFit="1" customWidth="1"/>
    <col min="5" max="5" width="5.7109375" style="0" bestFit="1" customWidth="1"/>
    <col min="6" max="6" width="4.421875" style="0" bestFit="1" customWidth="1"/>
    <col min="7" max="7" width="5.7109375" style="0" bestFit="1" customWidth="1"/>
    <col min="8" max="8" width="4.8515625" style="0" bestFit="1" customWidth="1"/>
    <col min="9" max="9" width="5.7109375" style="0" bestFit="1" customWidth="1"/>
    <col min="10" max="10" width="4.421875" style="0" bestFit="1" customWidth="1"/>
    <col min="11" max="11" width="5.7109375" style="0" bestFit="1" customWidth="1"/>
    <col min="12" max="12" width="4.8515625" style="0" bestFit="1" customWidth="1"/>
    <col min="13" max="13" width="5.7109375" style="0" bestFit="1" customWidth="1"/>
    <col min="14" max="14" width="4.8515625" style="0" bestFit="1" customWidth="1"/>
    <col min="16" max="16" width="15.57421875" style="0" customWidth="1"/>
    <col min="17" max="17" width="11.421875" style="0" customWidth="1"/>
    <col min="18" max="18" width="13.140625" style="0" customWidth="1"/>
    <col min="19" max="19" width="12.28125" style="0" customWidth="1"/>
    <col min="20" max="20" width="10.8515625" style="0" customWidth="1"/>
    <col min="21" max="21" width="11.140625" style="0" customWidth="1"/>
    <col min="23" max="23" width="13.00390625" style="0" customWidth="1"/>
    <col min="24" max="24" width="5.7109375" style="0" bestFit="1" customWidth="1"/>
    <col min="25" max="25" width="4.140625" style="0" bestFit="1" customWidth="1"/>
    <col min="26" max="26" width="5.7109375" style="0" bestFit="1" customWidth="1"/>
    <col min="27" max="27" width="4.421875" style="0" bestFit="1" customWidth="1"/>
    <col min="28" max="28" width="6.57421875" style="0" customWidth="1"/>
    <col min="29" max="29" width="4.421875" style="0" bestFit="1" customWidth="1"/>
    <col min="30" max="30" width="6.57421875" style="0" customWidth="1"/>
    <col min="31" max="31" width="4.421875" style="0" bestFit="1" customWidth="1"/>
    <col min="32" max="32" width="6.57421875" style="0" customWidth="1"/>
    <col min="33" max="33" width="4.421875" style="0" bestFit="1" customWidth="1"/>
    <col min="34" max="34" width="6.57421875" style="0" customWidth="1"/>
    <col min="35" max="35" width="4.421875" style="0" bestFit="1" customWidth="1"/>
    <col min="38" max="38" width="15.00390625" style="0" customWidth="1"/>
    <col min="39" max="39" width="7.7109375" style="0" bestFit="1" customWidth="1"/>
    <col min="40" max="42" width="13.421875" style="0" bestFit="1" customWidth="1"/>
    <col min="43" max="44" width="12.00390625" style="0" bestFit="1" customWidth="1"/>
  </cols>
  <sheetData>
    <row r="2" spans="2:7" ht="15.75">
      <c r="B2" s="371" t="s">
        <v>229</v>
      </c>
      <c r="C2" s="26"/>
      <c r="D2" s="26"/>
      <c r="E2" s="26"/>
      <c r="F2" s="26"/>
      <c r="G2" s="26"/>
    </row>
    <row r="3" spans="16:17" ht="13.5" thickBot="1">
      <c r="P3" s="26"/>
      <c r="Q3" s="26"/>
    </row>
    <row r="4" spans="2:45" ht="12" customHeight="1" thickBot="1">
      <c r="B4" s="658" t="s">
        <v>1</v>
      </c>
      <c r="C4" s="661" t="s">
        <v>47</v>
      </c>
      <c r="D4" s="678" t="s">
        <v>48</v>
      </c>
      <c r="E4" s="685" t="s">
        <v>132</v>
      </c>
      <c r="F4" s="686"/>
      <c r="G4" s="685" t="s">
        <v>134</v>
      </c>
      <c r="H4" s="686"/>
      <c r="I4" s="683" t="s">
        <v>136</v>
      </c>
      <c r="J4" s="683"/>
      <c r="K4" s="685" t="s">
        <v>138</v>
      </c>
      <c r="L4" s="686"/>
      <c r="M4" s="683" t="s">
        <v>140</v>
      </c>
      <c r="N4" s="684"/>
      <c r="O4" s="78"/>
      <c r="R4" s="23"/>
      <c r="S4" s="23"/>
      <c r="T4" s="110"/>
      <c r="U4" s="110"/>
      <c r="V4" s="79"/>
      <c r="AS4" s="77"/>
    </row>
    <row r="5" spans="2:22" ht="12.75" customHeight="1" thickBot="1">
      <c r="B5" s="676"/>
      <c r="C5" s="677"/>
      <c r="D5" s="679"/>
      <c r="E5" s="310" t="s">
        <v>89</v>
      </c>
      <c r="F5" s="74" t="s">
        <v>90</v>
      </c>
      <c r="G5" s="310" t="s">
        <v>89</v>
      </c>
      <c r="H5" s="74" t="s">
        <v>90</v>
      </c>
      <c r="I5" s="306" t="s">
        <v>89</v>
      </c>
      <c r="J5" s="315" t="s">
        <v>90</v>
      </c>
      <c r="K5" s="310" t="s">
        <v>89</v>
      </c>
      <c r="L5" s="74" t="s">
        <v>90</v>
      </c>
      <c r="M5" s="306" t="s">
        <v>89</v>
      </c>
      <c r="N5" s="74" t="s">
        <v>90</v>
      </c>
      <c r="O5" s="674"/>
      <c r="P5" s="504" t="s">
        <v>94</v>
      </c>
      <c r="Q5" s="680" t="s">
        <v>95</v>
      </c>
      <c r="R5" s="681"/>
      <c r="S5" s="682"/>
      <c r="T5" s="507" t="s">
        <v>93</v>
      </c>
      <c r="U5" s="501" t="s">
        <v>131</v>
      </c>
      <c r="V5" s="675"/>
    </row>
    <row r="6" spans="2:22" ht="12.75" customHeight="1">
      <c r="B6" s="222" t="s">
        <v>9</v>
      </c>
      <c r="C6" s="170">
        <f>'hours and cf'!C6</f>
        <v>5544.496864111498</v>
      </c>
      <c r="D6" s="307">
        <f>'hours and cf'!D6</f>
        <v>0.919436887555068</v>
      </c>
      <c r="E6" s="311">
        <f>($U$6-$T$6)/1000*D6</f>
        <v>0.13878899817643753</v>
      </c>
      <c r="F6" s="302">
        <f>($U$6-$T$6)*C6/1000</f>
        <v>836.9418016376305</v>
      </c>
      <c r="G6" s="311">
        <f>($U$7-$T$7)/1000*$D6</f>
        <v>0.2265028175307472</v>
      </c>
      <c r="H6" s="302">
        <f>($U$7-$T$7)/1000*$C6</f>
        <v>1365.8840302254355</v>
      </c>
      <c r="I6" s="226">
        <f>($U$8-$T$8)/1000*$D6</f>
        <v>0.09519849533745171</v>
      </c>
      <c r="J6" s="316">
        <f>($U$8-$T$8)/1000*$C6</f>
        <v>574.0772053101043</v>
      </c>
      <c r="K6" s="311">
        <f>($U$9-$T$9)/1000*$D6</f>
        <v>0.6591672906104171</v>
      </c>
      <c r="L6" s="302">
        <f>($U$9-$T$9)/1000*$C6</f>
        <v>3974.9884143031363</v>
      </c>
      <c r="M6" s="226">
        <f>($U$10-$T$10)/1000*$D6</f>
        <v>0.5015804052679164</v>
      </c>
      <c r="N6" s="302">
        <f>($U$10-$T$10)/1000*$C6</f>
        <v>3024.689374278746</v>
      </c>
      <c r="O6" s="674"/>
      <c r="P6" s="509" t="s">
        <v>132</v>
      </c>
      <c r="Q6" s="510" t="s">
        <v>133</v>
      </c>
      <c r="R6" s="511"/>
      <c r="S6" s="512"/>
      <c r="T6" s="513">
        <f>R46</f>
        <v>144</v>
      </c>
      <c r="U6" s="514">
        <f>R28</f>
        <v>294.95</v>
      </c>
      <c r="V6" s="675"/>
    </row>
    <row r="7" spans="2:22" ht="12.75" customHeight="1">
      <c r="B7" s="223" t="s">
        <v>11</v>
      </c>
      <c r="C7" s="218">
        <f>'hours and cf'!C7</f>
        <v>4482.455981416957</v>
      </c>
      <c r="D7" s="308">
        <f>'hours and cf'!D7</f>
        <v>0.8403721922666595</v>
      </c>
      <c r="E7" s="312">
        <f aca="true" t="shared" si="0" ref="E7:E20">($U$6-$T$6)/1000*D7</f>
        <v>0.12685418242265226</v>
      </c>
      <c r="F7" s="303">
        <f aca="true" t="shared" si="1" ref="F7:F20">($U$6-$T$6)*C7/1000</f>
        <v>676.6267303948896</v>
      </c>
      <c r="G7" s="312">
        <f aca="true" t="shared" si="2" ref="G7:G20">($U$7-$T$7)/1000*D7</f>
        <v>0.2070252693787954</v>
      </c>
      <c r="H7" s="303">
        <f aca="true" t="shared" si="3" ref="H7:H20">($U$7-$T$7)/1000*C7</f>
        <v>1104.2507897940766</v>
      </c>
      <c r="I7" s="227">
        <f aca="true" t="shared" si="4" ref="I7:I20">($U$8-$T$8)/1000*$D7</f>
        <v>0.08701213678728989</v>
      </c>
      <c r="J7" s="317">
        <f aca="true" t="shared" si="5" ref="J7:J20">($U$8-$T$8)/1000*$C7</f>
        <v>464.11349231591157</v>
      </c>
      <c r="K7" s="312">
        <f aca="true" t="shared" si="6" ref="K7:K20">($U$9-$T$9)/1000*$D7</f>
        <v>0.6024838339407749</v>
      </c>
      <c r="L7" s="303">
        <f aca="true" t="shared" si="7" ref="L7:L20">($U$9-$T$9)/1000*$C7</f>
        <v>3213.584754477352</v>
      </c>
      <c r="M7" s="227">
        <f aca="true" t="shared" si="8" ref="M7:M20">($U$10-$T$10)/1000*$D7</f>
        <v>0.45844824204723084</v>
      </c>
      <c r="N7" s="303">
        <f aca="true" t="shared" si="9" ref="N7:N20">($U$10-$T$10)/1000*$C7</f>
        <v>2445.314211542393</v>
      </c>
      <c r="O7" s="674"/>
      <c r="P7" s="505" t="s">
        <v>134</v>
      </c>
      <c r="Q7" s="330" t="s">
        <v>135</v>
      </c>
      <c r="R7" s="331"/>
      <c r="S7" s="506"/>
      <c r="T7" s="508">
        <f>S46</f>
        <v>211.83050000000003</v>
      </c>
      <c r="U7" s="502">
        <f>S28</f>
        <v>458.18</v>
      </c>
      <c r="V7" s="675"/>
    </row>
    <row r="8" spans="2:22" ht="12.75" customHeight="1">
      <c r="B8" s="224" t="s">
        <v>13</v>
      </c>
      <c r="C8" s="218">
        <f>'hours and cf'!C8</f>
        <v>3677.4786171063142</v>
      </c>
      <c r="D8" s="308">
        <f>'hours and cf'!D8</f>
        <v>0.7816105403329625</v>
      </c>
      <c r="E8" s="311">
        <f t="shared" si="0"/>
        <v>0.11798411106326069</v>
      </c>
      <c r="F8" s="302">
        <f t="shared" si="1"/>
        <v>555.115397252198</v>
      </c>
      <c r="G8" s="311">
        <f t="shared" si="2"/>
        <v>0.19254936580575513</v>
      </c>
      <c r="H8" s="302">
        <f t="shared" si="3"/>
        <v>905.9450185848318</v>
      </c>
      <c r="I8" s="226">
        <f t="shared" si="4"/>
        <v>0.08092795534607491</v>
      </c>
      <c r="J8" s="316">
        <f t="shared" si="5"/>
        <v>380.76613601518767</v>
      </c>
      <c r="K8" s="311">
        <f t="shared" si="6"/>
        <v>0.5603561366282092</v>
      </c>
      <c r="L8" s="302">
        <f t="shared" si="7"/>
        <v>2636.4763575689444</v>
      </c>
      <c r="M8" s="226">
        <f t="shared" si="8"/>
        <v>0.4263919980678411</v>
      </c>
      <c r="N8" s="302">
        <f t="shared" si="9"/>
        <v>2006.1749099900078</v>
      </c>
      <c r="O8" s="674"/>
      <c r="P8" s="515" t="s">
        <v>136</v>
      </c>
      <c r="Q8" s="516" t="s">
        <v>137</v>
      </c>
      <c r="R8" s="517"/>
      <c r="S8" s="518"/>
      <c r="T8" s="519">
        <f>T46</f>
        <v>358.56</v>
      </c>
      <c r="U8" s="520">
        <f>T28</f>
        <v>462.09999999999997</v>
      </c>
      <c r="V8" s="675"/>
    </row>
    <row r="9" spans="2:21" ht="12.75">
      <c r="B9" s="223" t="s">
        <v>15</v>
      </c>
      <c r="C9" s="218">
        <f>'hours and cf'!C9</f>
        <v>3355.9109900090825</v>
      </c>
      <c r="D9" s="308">
        <f>'hours and cf'!D9</f>
        <v>0.34947188256217815</v>
      </c>
      <c r="E9" s="312">
        <f t="shared" si="0"/>
        <v>0.05275278067276079</v>
      </c>
      <c r="F9" s="303">
        <f t="shared" si="1"/>
        <v>506.57476394187097</v>
      </c>
      <c r="G9" s="312">
        <f t="shared" si="2"/>
        <v>0.0860922235332513</v>
      </c>
      <c r="H9" s="303">
        <f t="shared" si="3"/>
        <v>826.7269944332423</v>
      </c>
      <c r="I9" s="227">
        <f t="shared" si="4"/>
        <v>0.03618431872048791</v>
      </c>
      <c r="J9" s="317">
        <f t="shared" si="5"/>
        <v>347.4710239055403</v>
      </c>
      <c r="K9" s="312">
        <f t="shared" si="6"/>
        <v>0.2505451294058896</v>
      </c>
      <c r="L9" s="303">
        <f t="shared" si="7"/>
        <v>2405.9364865122616</v>
      </c>
      <c r="M9" s="227">
        <f t="shared" si="8"/>
        <v>0.19064739609414508</v>
      </c>
      <c r="N9" s="303">
        <f t="shared" si="9"/>
        <v>1830.750122379655</v>
      </c>
      <c r="P9" s="505" t="s">
        <v>138</v>
      </c>
      <c r="Q9" s="330" t="s">
        <v>139</v>
      </c>
      <c r="R9" s="331"/>
      <c r="S9" s="506"/>
      <c r="T9" s="508">
        <f>U46</f>
        <v>363.475</v>
      </c>
      <c r="U9" s="503">
        <f>U28</f>
        <v>1080.4</v>
      </c>
    </row>
    <row r="10" spans="2:21" ht="13.5" thickBot="1">
      <c r="B10" s="224" t="s">
        <v>17</v>
      </c>
      <c r="C10" s="218">
        <f>'hours and cf'!C10</f>
        <v>3525.559930313588</v>
      </c>
      <c r="D10" s="308">
        <f>'hours and cf'!D10</f>
        <v>0.7656622102276223</v>
      </c>
      <c r="E10" s="311">
        <f t="shared" si="0"/>
        <v>0.11557671063385958</v>
      </c>
      <c r="F10" s="302">
        <f t="shared" si="1"/>
        <v>532.1832714808361</v>
      </c>
      <c r="G10" s="311">
        <f t="shared" si="2"/>
        <v>0.1886205026584696</v>
      </c>
      <c r="H10" s="302">
        <f t="shared" si="3"/>
        <v>868.5199260527872</v>
      </c>
      <c r="I10" s="226">
        <f t="shared" si="4"/>
        <v>0.07927666524696798</v>
      </c>
      <c r="J10" s="316">
        <f t="shared" si="5"/>
        <v>365.0364751846688</v>
      </c>
      <c r="K10" s="311">
        <f t="shared" si="6"/>
        <v>0.5489223800674381</v>
      </c>
      <c r="L10" s="302">
        <f t="shared" si="7"/>
        <v>2527.5620530400693</v>
      </c>
      <c r="M10" s="226">
        <f t="shared" si="8"/>
        <v>0.4176917055454748</v>
      </c>
      <c r="N10" s="302">
        <f t="shared" si="9"/>
        <v>1923.298708783972</v>
      </c>
      <c r="P10" s="521" t="s">
        <v>140</v>
      </c>
      <c r="Q10" s="522" t="s">
        <v>141</v>
      </c>
      <c r="R10" s="523"/>
      <c r="S10" s="524"/>
      <c r="T10" s="525">
        <f>V46</f>
        <v>534.87</v>
      </c>
      <c r="U10" s="526">
        <f>V28</f>
        <v>1080.4</v>
      </c>
    </row>
    <row r="11" spans="2:14" ht="12.75">
      <c r="B11" s="223" t="s">
        <v>18</v>
      </c>
      <c r="C11" s="218">
        <f>'hours and cf'!C11</f>
        <v>2728.677489177489</v>
      </c>
      <c r="D11" s="308">
        <f>'hours and cf'!D11</f>
        <v>0.6662216188257628</v>
      </c>
      <c r="E11" s="312">
        <f t="shared" si="0"/>
        <v>0.1005661533617489</v>
      </c>
      <c r="F11" s="303">
        <f t="shared" si="1"/>
        <v>411.89386699134195</v>
      </c>
      <c r="G11" s="312">
        <f t="shared" si="2"/>
        <v>0.16412336268691724</v>
      </c>
      <c r="H11" s="303">
        <f t="shared" si="3"/>
        <v>672.2083351201297</v>
      </c>
      <c r="I11" s="227">
        <f t="shared" si="4"/>
        <v>0.06898058641321946</v>
      </c>
      <c r="J11" s="317">
        <f t="shared" si="5"/>
        <v>282.5272672294371</v>
      </c>
      <c r="K11" s="312">
        <f t="shared" si="6"/>
        <v>0.47763093407666</v>
      </c>
      <c r="L11" s="303">
        <f t="shared" si="7"/>
        <v>1956.2571089285714</v>
      </c>
      <c r="M11" s="227">
        <f t="shared" si="8"/>
        <v>0.36344387971801845</v>
      </c>
      <c r="N11" s="303">
        <f t="shared" si="9"/>
        <v>1488.5754306709957</v>
      </c>
    </row>
    <row r="12" spans="2:14" ht="12.75">
      <c r="B12" s="224" t="s">
        <v>49</v>
      </c>
      <c r="C12" s="218">
        <f>'hours and cf'!C12</f>
        <v>3425.1238805970147</v>
      </c>
      <c r="D12" s="308">
        <f>'hours and cf'!D12</f>
        <v>0.635</v>
      </c>
      <c r="E12" s="311">
        <f t="shared" si="0"/>
        <v>0.09585325</v>
      </c>
      <c r="F12" s="302">
        <f t="shared" si="1"/>
        <v>517.0224497761193</v>
      </c>
      <c r="G12" s="311">
        <f t="shared" si="2"/>
        <v>0.15643193249999998</v>
      </c>
      <c r="H12" s="302">
        <f t="shared" si="3"/>
        <v>843.7775554231342</v>
      </c>
      <c r="I12" s="226">
        <f t="shared" si="4"/>
        <v>0.06574789999999998</v>
      </c>
      <c r="J12" s="316">
        <f t="shared" si="5"/>
        <v>354.6373265970148</v>
      </c>
      <c r="K12" s="311">
        <f t="shared" si="6"/>
        <v>0.455247375</v>
      </c>
      <c r="L12" s="302">
        <f t="shared" si="7"/>
        <v>2455.556938097015</v>
      </c>
      <c r="M12" s="226">
        <f t="shared" si="8"/>
        <v>0.34641155000000007</v>
      </c>
      <c r="N12" s="302">
        <f t="shared" si="9"/>
        <v>1868.5078305820896</v>
      </c>
    </row>
    <row r="13" spans="2:22" ht="16.5" thickBot="1">
      <c r="B13" s="223" t="s">
        <v>20</v>
      </c>
      <c r="C13" s="218">
        <f>'hours and cf'!C13</f>
        <v>4225.849196263871</v>
      </c>
      <c r="D13" s="308">
        <f>'hours and cf'!D13</f>
        <v>0.8446352773569024</v>
      </c>
      <c r="E13" s="312">
        <f t="shared" si="0"/>
        <v>0.1274976951170244</v>
      </c>
      <c r="F13" s="303">
        <f t="shared" si="1"/>
        <v>637.8919361760312</v>
      </c>
      <c r="G13" s="312">
        <f t="shared" si="2"/>
        <v>0.2080754782592342</v>
      </c>
      <c r="H13" s="303">
        <f t="shared" si="3"/>
        <v>1041.0358365750064</v>
      </c>
      <c r="I13" s="227">
        <f t="shared" si="4"/>
        <v>0.08745353661753365</v>
      </c>
      <c r="J13" s="317">
        <f t="shared" si="5"/>
        <v>437.54442578116107</v>
      </c>
      <c r="K13" s="312">
        <f t="shared" si="6"/>
        <v>0.6055401462190972</v>
      </c>
      <c r="L13" s="303">
        <f t="shared" si="7"/>
        <v>3029.616935031476</v>
      </c>
      <c r="M13" s="227">
        <f t="shared" si="8"/>
        <v>0.460773882856511</v>
      </c>
      <c r="N13" s="303">
        <f t="shared" si="9"/>
        <v>2305.32751203783</v>
      </c>
      <c r="P13" s="116" t="s">
        <v>273</v>
      </c>
      <c r="Q13" s="26"/>
      <c r="R13" s="26"/>
      <c r="S13" s="26"/>
      <c r="T13" s="26"/>
      <c r="U13" s="26"/>
      <c r="V13" s="26"/>
    </row>
    <row r="14" spans="2:22" ht="12.75" customHeight="1" thickBot="1">
      <c r="B14" s="224" t="s">
        <v>21</v>
      </c>
      <c r="C14" s="218">
        <f>'hours and cf'!C14</f>
        <v>3464.4046762589924</v>
      </c>
      <c r="D14" s="308">
        <f>'hours and cf'!D14</f>
        <v>0.7896801654747687</v>
      </c>
      <c r="E14" s="311">
        <f t="shared" si="0"/>
        <v>0.11920222097841633</v>
      </c>
      <c r="F14" s="302">
        <f t="shared" si="1"/>
        <v>522.9518858812949</v>
      </c>
      <c r="G14" s="311">
        <f t="shared" si="2"/>
        <v>0.1945373139246265</v>
      </c>
      <c r="H14" s="302">
        <f t="shared" si="3"/>
        <v>853.4543597940645</v>
      </c>
      <c r="I14" s="226">
        <f t="shared" si="4"/>
        <v>0.08176348433325753</v>
      </c>
      <c r="J14" s="316">
        <f t="shared" si="5"/>
        <v>358.70446017985597</v>
      </c>
      <c r="K14" s="311">
        <f t="shared" si="6"/>
        <v>0.5661414526329985</v>
      </c>
      <c r="L14" s="302">
        <f t="shared" si="7"/>
        <v>2483.718322526978</v>
      </c>
      <c r="M14" s="226">
        <f t="shared" si="8"/>
        <v>0.4307942206714506</v>
      </c>
      <c r="N14" s="302">
        <f t="shared" si="9"/>
        <v>1889.9366830395684</v>
      </c>
      <c r="P14" s="332" t="s">
        <v>53</v>
      </c>
      <c r="Q14" s="320" t="s">
        <v>98</v>
      </c>
      <c r="R14" s="321" t="s">
        <v>99</v>
      </c>
      <c r="S14" s="321" t="s">
        <v>100</v>
      </c>
      <c r="T14" s="321" t="s">
        <v>101</v>
      </c>
      <c r="U14" s="321" t="s">
        <v>102</v>
      </c>
      <c r="V14" s="320" t="s">
        <v>103</v>
      </c>
    </row>
    <row r="15" spans="2:36" ht="12.75">
      <c r="B15" s="223" t="s">
        <v>22</v>
      </c>
      <c r="C15" s="218">
        <f>'hours and cf'!C15</f>
        <v>2301.6893571042683</v>
      </c>
      <c r="D15" s="308">
        <f>'hours and cf'!D15</f>
        <v>0.5244094785754665</v>
      </c>
      <c r="E15" s="312">
        <f t="shared" si="0"/>
        <v>0.07915961079096667</v>
      </c>
      <c r="F15" s="303">
        <f t="shared" si="1"/>
        <v>347.44000845488927</v>
      </c>
      <c r="G15" s="312">
        <f t="shared" si="2"/>
        <v>0.12918801284232687</v>
      </c>
      <c r="H15" s="303">
        <f>($U$7-$T$7)/1000*C15</f>
        <v>567.0200222779579</v>
      </c>
      <c r="I15" s="227">
        <f t="shared" si="4"/>
        <v>0.05429735741170378</v>
      </c>
      <c r="J15" s="317">
        <f t="shared" si="5"/>
        <v>238.31691603457585</v>
      </c>
      <c r="K15" s="312">
        <f t="shared" si="6"/>
        <v>0.3759622654277163</v>
      </c>
      <c r="L15" s="303">
        <f t="shared" si="7"/>
        <v>1650.1386423419776</v>
      </c>
      <c r="M15" s="227">
        <f t="shared" si="8"/>
        <v>0.2860811028472743</v>
      </c>
      <c r="N15" s="303">
        <f t="shared" si="9"/>
        <v>1255.6405949810917</v>
      </c>
      <c r="P15" s="335" t="s">
        <v>104</v>
      </c>
      <c r="Q15" s="336">
        <v>1100</v>
      </c>
      <c r="R15" s="337">
        <v>0</v>
      </c>
      <c r="S15" s="338">
        <v>0</v>
      </c>
      <c r="T15" s="338">
        <v>0</v>
      </c>
      <c r="U15" s="338">
        <v>0.02</v>
      </c>
      <c r="V15" s="339">
        <v>0.02</v>
      </c>
      <c r="AJ15" s="89"/>
    </row>
    <row r="16" spans="2:36" ht="12.75">
      <c r="B16" s="224" t="s">
        <v>23</v>
      </c>
      <c r="C16" s="218">
        <f>'hours and cf'!C16</f>
        <v>3900</v>
      </c>
      <c r="D16" s="308">
        <f>'hours and cf'!D16</f>
        <v>0.68</v>
      </c>
      <c r="E16" s="311">
        <f t="shared" si="0"/>
        <v>0.102646</v>
      </c>
      <c r="F16" s="302">
        <f t="shared" si="1"/>
        <v>588.705</v>
      </c>
      <c r="G16" s="311">
        <f t="shared" si="2"/>
        <v>0.16751765999999998</v>
      </c>
      <c r="H16" s="302">
        <f t="shared" si="3"/>
        <v>960.7630499999999</v>
      </c>
      <c r="I16" s="226">
        <f t="shared" si="4"/>
        <v>0.07040719999999998</v>
      </c>
      <c r="J16" s="316">
        <f t="shared" si="5"/>
        <v>403.80599999999987</v>
      </c>
      <c r="K16" s="311">
        <f>($U$9-$T$9)/1000*$D16</f>
        <v>0.4875090000000001</v>
      </c>
      <c r="L16" s="302">
        <f t="shared" si="7"/>
        <v>2796.0075</v>
      </c>
      <c r="M16" s="226">
        <f t="shared" si="8"/>
        <v>0.3709604000000001</v>
      </c>
      <c r="N16" s="302">
        <f t="shared" si="9"/>
        <v>2127.5670000000005</v>
      </c>
      <c r="P16" s="333" t="s">
        <v>105</v>
      </c>
      <c r="Q16" s="322">
        <v>465</v>
      </c>
      <c r="R16" s="323">
        <v>0</v>
      </c>
      <c r="S16" s="324">
        <v>0.03</v>
      </c>
      <c r="T16" s="324">
        <v>0.03</v>
      </c>
      <c r="U16" s="324">
        <v>0</v>
      </c>
      <c r="V16" s="325">
        <v>0</v>
      </c>
      <c r="AJ16" s="90"/>
    </row>
    <row r="17" spans="2:36" ht="12.75">
      <c r="B17" s="223" t="s">
        <v>143</v>
      </c>
      <c r="C17" s="218">
        <f>'hours and cf'!C17</f>
        <v>986</v>
      </c>
      <c r="D17" s="308">
        <f>'hours and cf'!D17</f>
        <v>0.07</v>
      </c>
      <c r="E17" s="312">
        <f t="shared" si="0"/>
        <v>0.010566500000000001</v>
      </c>
      <c r="F17" s="303">
        <f>($U$6-$T$6)*C17/1000</f>
        <v>148.83669999999998</v>
      </c>
      <c r="G17" s="312">
        <f>($U$7-$T$7)/1000*D17</f>
        <v>0.017244465</v>
      </c>
      <c r="H17" s="303">
        <f>($U$7-$T$7)/1000*C17</f>
        <v>242.90060699999998</v>
      </c>
      <c r="I17" s="227">
        <f t="shared" si="4"/>
        <v>0.007247799999999999</v>
      </c>
      <c r="J17" s="317">
        <f t="shared" si="5"/>
        <v>102.09043999999997</v>
      </c>
      <c r="K17" s="312">
        <f t="shared" si="6"/>
        <v>0.05018475000000001</v>
      </c>
      <c r="L17" s="303">
        <f t="shared" si="7"/>
        <v>706.88805</v>
      </c>
      <c r="M17" s="227">
        <f t="shared" si="8"/>
        <v>0.03818710000000001</v>
      </c>
      <c r="N17" s="303">
        <f t="shared" si="9"/>
        <v>537.8925800000001</v>
      </c>
      <c r="P17" s="335" t="s">
        <v>106</v>
      </c>
      <c r="Q17" s="336">
        <v>295</v>
      </c>
      <c r="R17" s="340">
        <v>0.03</v>
      </c>
      <c r="S17" s="341">
        <v>0</v>
      </c>
      <c r="T17" s="341">
        <v>0</v>
      </c>
      <c r="U17" s="341">
        <v>0</v>
      </c>
      <c r="V17" s="342">
        <v>0</v>
      </c>
      <c r="AJ17" s="91"/>
    </row>
    <row r="18" spans="2:36" ht="12.75">
      <c r="B18" s="224" t="s">
        <v>24</v>
      </c>
      <c r="C18" s="218">
        <f>'hours and cf'!C18</f>
        <v>4745.3302752293575</v>
      </c>
      <c r="D18" s="308">
        <f>'hours and cf'!D18</f>
        <v>0.7703958262197858</v>
      </c>
      <c r="E18" s="313">
        <f t="shared" si="0"/>
        <v>0.11629124996787665</v>
      </c>
      <c r="F18" s="304">
        <f t="shared" si="1"/>
        <v>716.3076050458715</v>
      </c>
      <c r="G18" s="313">
        <f t="shared" si="2"/>
        <v>0.18978662659133108</v>
      </c>
      <c r="H18" s="304">
        <f t="shared" si="3"/>
        <v>1169.0097406376144</v>
      </c>
      <c r="I18" s="228">
        <f t="shared" si="4"/>
        <v>0.07976678384679659</v>
      </c>
      <c r="J18" s="318">
        <f t="shared" si="5"/>
        <v>491.33149669724753</v>
      </c>
      <c r="K18" s="313">
        <f t="shared" si="6"/>
        <v>0.5523160277126199</v>
      </c>
      <c r="L18" s="304">
        <f t="shared" si="7"/>
        <v>3402.0459075688073</v>
      </c>
      <c r="M18" s="228">
        <f t="shared" si="8"/>
        <v>0.4202740350776798</v>
      </c>
      <c r="N18" s="304">
        <f t="shared" si="9"/>
        <v>2588.720025045872</v>
      </c>
      <c r="P18" s="333" t="s">
        <v>107</v>
      </c>
      <c r="Q18" s="322">
        <v>455</v>
      </c>
      <c r="R18" s="323">
        <v>0</v>
      </c>
      <c r="S18" s="324">
        <v>0.01</v>
      </c>
      <c r="T18" s="324">
        <v>0.01</v>
      </c>
      <c r="U18" s="324">
        <v>0</v>
      </c>
      <c r="V18" s="325">
        <v>0</v>
      </c>
      <c r="AJ18" s="92"/>
    </row>
    <row r="19" spans="2:22" ht="12.75">
      <c r="B19" s="223" t="s">
        <v>50</v>
      </c>
      <c r="C19" s="218">
        <f>'hours and cf'!C19</f>
        <v>4698.114640883978</v>
      </c>
      <c r="D19" s="308">
        <f>'hours and cf'!D19</f>
        <v>0.6691605279312461</v>
      </c>
      <c r="E19" s="312">
        <f t="shared" si="0"/>
        <v>0.1010097816912216</v>
      </c>
      <c r="F19" s="303">
        <f t="shared" si="1"/>
        <v>709.1804050414364</v>
      </c>
      <c r="G19" s="312">
        <f t="shared" si="2"/>
        <v>0.1648473614755985</v>
      </c>
      <c r="H19" s="303">
        <f t="shared" si="3"/>
        <v>1157.3781927244472</v>
      </c>
      <c r="I19" s="227">
        <f t="shared" si="4"/>
        <v>0.0692848810620012</v>
      </c>
      <c r="J19" s="317">
        <f t="shared" si="5"/>
        <v>486.4427899171269</v>
      </c>
      <c r="K19" s="312">
        <f t="shared" si="6"/>
        <v>0.47973791148710865</v>
      </c>
      <c r="L19" s="303">
        <f t="shared" si="7"/>
        <v>3368.1958389157458</v>
      </c>
      <c r="M19" s="227">
        <f t="shared" si="8"/>
        <v>0.36504714280233275</v>
      </c>
      <c r="N19" s="303">
        <f t="shared" si="9"/>
        <v>2562.9624800414367</v>
      </c>
      <c r="P19" s="335" t="s">
        <v>108</v>
      </c>
      <c r="Q19" s="336">
        <v>290</v>
      </c>
      <c r="R19" s="340">
        <v>0.01</v>
      </c>
      <c r="S19" s="341">
        <v>0</v>
      </c>
      <c r="T19" s="341">
        <v>0</v>
      </c>
      <c r="U19" s="341">
        <v>0</v>
      </c>
      <c r="V19" s="342">
        <v>0</v>
      </c>
    </row>
    <row r="20" spans="2:22" ht="13.5" thickBot="1">
      <c r="B20" s="225" t="s">
        <v>25</v>
      </c>
      <c r="C20" s="219">
        <f>'hours and cf'!C20</f>
        <v>3672.394884092725</v>
      </c>
      <c r="D20" s="309">
        <f>'hours and cf'!D20</f>
        <v>0.6662216188257628</v>
      </c>
      <c r="E20" s="314">
        <f t="shared" si="0"/>
        <v>0.1005661533617489</v>
      </c>
      <c r="F20" s="305">
        <f t="shared" si="1"/>
        <v>554.3480077537968</v>
      </c>
      <c r="G20" s="314">
        <f t="shared" si="2"/>
        <v>0.16412336268691724</v>
      </c>
      <c r="H20" s="305">
        <f t="shared" si="3"/>
        <v>904.6926434988006</v>
      </c>
      <c r="I20" s="229">
        <f t="shared" si="4"/>
        <v>0.06898058641321946</v>
      </c>
      <c r="J20" s="319">
        <f t="shared" si="5"/>
        <v>380.2397662989606</v>
      </c>
      <c r="K20" s="314">
        <f t="shared" si="6"/>
        <v>0.47763093407666</v>
      </c>
      <c r="L20" s="305">
        <f t="shared" si="7"/>
        <v>2632.831702278177</v>
      </c>
      <c r="M20" s="229">
        <f t="shared" si="8"/>
        <v>0.36344387971801845</v>
      </c>
      <c r="N20" s="305">
        <f t="shared" si="9"/>
        <v>2003.4015811191045</v>
      </c>
      <c r="P20" s="333" t="s">
        <v>109</v>
      </c>
      <c r="Q20" s="322">
        <v>1080</v>
      </c>
      <c r="R20" s="323">
        <v>0</v>
      </c>
      <c r="S20" s="324">
        <v>0</v>
      </c>
      <c r="T20" s="324">
        <v>0</v>
      </c>
      <c r="U20" s="324">
        <v>0.98</v>
      </c>
      <c r="V20" s="325">
        <v>0.98</v>
      </c>
    </row>
    <row r="21" spans="16:22" ht="12.75">
      <c r="P21" s="335" t="s">
        <v>110</v>
      </c>
      <c r="Q21" s="336">
        <v>850</v>
      </c>
      <c r="R21" s="340">
        <v>0</v>
      </c>
      <c r="S21" s="341">
        <v>0</v>
      </c>
      <c r="T21" s="341">
        <v>0.01</v>
      </c>
      <c r="U21" s="341">
        <v>0</v>
      </c>
      <c r="V21" s="342">
        <v>0</v>
      </c>
    </row>
    <row r="22" spans="16:22" ht="12.75">
      <c r="P22" s="333" t="s">
        <v>111</v>
      </c>
      <c r="Q22" s="322">
        <v>458</v>
      </c>
      <c r="R22" s="323">
        <v>0</v>
      </c>
      <c r="S22" s="324">
        <v>0.96</v>
      </c>
      <c r="T22" s="324">
        <v>0.95</v>
      </c>
      <c r="U22" s="324">
        <v>0</v>
      </c>
      <c r="V22" s="325">
        <v>0</v>
      </c>
    </row>
    <row r="23" spans="2:22" s="77" customFormat="1" ht="12.75" customHeight="1">
      <c r="B23"/>
      <c r="C23"/>
      <c r="D23"/>
      <c r="E23"/>
      <c r="F23"/>
      <c r="G23"/>
      <c r="H23"/>
      <c r="I23"/>
      <c r="J23"/>
      <c r="K23"/>
      <c r="L23"/>
      <c r="M23"/>
      <c r="N23"/>
      <c r="P23" s="335" t="s">
        <v>112</v>
      </c>
      <c r="Q23" s="336">
        <v>295</v>
      </c>
      <c r="R23" s="340">
        <v>0.96</v>
      </c>
      <c r="S23" s="341">
        <v>0</v>
      </c>
      <c r="T23" s="341">
        <v>0</v>
      </c>
      <c r="U23" s="341">
        <v>0</v>
      </c>
      <c r="V23" s="342">
        <v>0</v>
      </c>
    </row>
    <row r="24" spans="2:22" ht="12.75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P24" s="333" t="s">
        <v>113</v>
      </c>
      <c r="Q24" s="322">
        <v>818</v>
      </c>
      <c r="R24" s="323">
        <v>0</v>
      </c>
      <c r="S24" s="324">
        <v>0</v>
      </c>
      <c r="T24" s="324">
        <v>0</v>
      </c>
      <c r="U24" s="324">
        <v>0</v>
      </c>
      <c r="V24" s="325">
        <v>0</v>
      </c>
    </row>
    <row r="25" spans="16:22" ht="12.75">
      <c r="P25" s="335" t="s">
        <v>114</v>
      </c>
      <c r="Q25" s="336">
        <v>365</v>
      </c>
      <c r="R25" s="340">
        <v>0</v>
      </c>
      <c r="S25" s="341">
        <v>0</v>
      </c>
      <c r="T25" s="341">
        <v>0</v>
      </c>
      <c r="U25" s="341">
        <v>0</v>
      </c>
      <c r="V25" s="342">
        <v>0</v>
      </c>
    </row>
    <row r="26" spans="16:22" ht="13.5" thickBot="1">
      <c r="P26" s="333" t="s">
        <v>115</v>
      </c>
      <c r="Q26" s="322">
        <v>288</v>
      </c>
      <c r="R26" s="323">
        <v>0</v>
      </c>
      <c r="S26" s="324">
        <v>0</v>
      </c>
      <c r="T26" s="324">
        <v>0</v>
      </c>
      <c r="U26" s="324">
        <v>0</v>
      </c>
      <c r="V26" s="325">
        <v>0</v>
      </c>
    </row>
    <row r="27" spans="16:22" ht="13.5" thickBot="1">
      <c r="P27" s="248" t="s">
        <v>116</v>
      </c>
      <c r="Q27" s="343"/>
      <c r="R27" s="344">
        <v>1</v>
      </c>
      <c r="S27" s="345">
        <v>1</v>
      </c>
      <c r="T27" s="345">
        <v>1</v>
      </c>
      <c r="U27" s="345">
        <v>1</v>
      </c>
      <c r="V27" s="346">
        <v>1</v>
      </c>
    </row>
    <row r="28" spans="16:22" ht="13.5" thickBot="1">
      <c r="P28" s="334" t="s">
        <v>117</v>
      </c>
      <c r="Q28" s="326"/>
      <c r="R28" s="327">
        <f>SUMPRODUCT($Q15:$Q26,R15:R26)</f>
        <v>294.95</v>
      </c>
      <c r="S28" s="328">
        <f>SUMPRODUCT($Q15:$Q26,S15:S26)</f>
        <v>458.18</v>
      </c>
      <c r="T28" s="328">
        <f>SUMPRODUCT($Q15:$Q26,T15:T26)</f>
        <v>462.09999999999997</v>
      </c>
      <c r="U28" s="328">
        <f>SUMPRODUCT($Q15:$Q26,U15:U26)</f>
        <v>1080.4</v>
      </c>
      <c r="V28" s="329">
        <f>SUMPRODUCT($Q15:$Q26,V15:V26)</f>
        <v>1080.4</v>
      </c>
    </row>
    <row r="29" ht="12.75">
      <c r="P29" s="72" t="s">
        <v>274</v>
      </c>
    </row>
    <row r="32" spans="16:22" ht="16.5" thickBot="1">
      <c r="P32" s="116" t="s">
        <v>276</v>
      </c>
      <c r="Q32" s="116"/>
      <c r="R32" s="116"/>
      <c r="S32" s="116"/>
      <c r="T32" s="116"/>
      <c r="U32" s="116"/>
      <c r="V32" s="116"/>
    </row>
    <row r="33" spans="16:22" ht="23.25" thickBot="1">
      <c r="P33" s="332" t="s">
        <v>53</v>
      </c>
      <c r="Q33" s="320" t="s">
        <v>98</v>
      </c>
      <c r="R33" s="321" t="s">
        <v>99</v>
      </c>
      <c r="S33" s="321" t="s">
        <v>100</v>
      </c>
      <c r="T33" s="321" t="s">
        <v>101</v>
      </c>
      <c r="U33" s="321" t="s">
        <v>118</v>
      </c>
      <c r="V33" s="320" t="s">
        <v>119</v>
      </c>
    </row>
    <row r="34" spans="16:22" ht="12.75">
      <c r="P34" s="335" t="s">
        <v>120</v>
      </c>
      <c r="Q34" s="360">
        <v>144</v>
      </c>
      <c r="R34" s="361">
        <v>1</v>
      </c>
      <c r="S34" s="362">
        <v>0.019</v>
      </c>
      <c r="T34" s="362">
        <v>0</v>
      </c>
      <c r="U34" s="362">
        <v>0</v>
      </c>
      <c r="V34" s="363">
        <v>0</v>
      </c>
    </row>
    <row r="35" spans="16:22" ht="12.75">
      <c r="P35" s="333" t="s">
        <v>121</v>
      </c>
      <c r="Q35" s="347">
        <v>221.5</v>
      </c>
      <c r="R35" s="352">
        <v>0</v>
      </c>
      <c r="S35" s="351">
        <v>0.479</v>
      </c>
      <c r="T35" s="351">
        <v>0</v>
      </c>
      <c r="U35" s="351">
        <v>0.07</v>
      </c>
      <c r="V35" s="349">
        <v>0</v>
      </c>
    </row>
    <row r="36" spans="16:22" ht="12.75">
      <c r="P36" s="335" t="s">
        <v>122</v>
      </c>
      <c r="Q36" s="360">
        <v>288</v>
      </c>
      <c r="R36" s="364">
        <v>0</v>
      </c>
      <c r="S36" s="365">
        <v>0</v>
      </c>
      <c r="T36" s="365">
        <v>0.02</v>
      </c>
      <c r="U36" s="365">
        <v>0.13</v>
      </c>
      <c r="V36" s="366">
        <v>0</v>
      </c>
    </row>
    <row r="37" spans="16:22" ht="12.75">
      <c r="P37" s="333" t="s">
        <v>123</v>
      </c>
      <c r="Q37" s="347">
        <v>576</v>
      </c>
      <c r="R37" s="352">
        <v>0</v>
      </c>
      <c r="S37" s="351">
        <v>0</v>
      </c>
      <c r="T37" s="351">
        <v>0</v>
      </c>
      <c r="U37" s="351">
        <v>0</v>
      </c>
      <c r="V37" s="349">
        <v>0.28</v>
      </c>
    </row>
    <row r="38" spans="16:22" ht="12.75">
      <c r="P38" s="335" t="s">
        <v>124</v>
      </c>
      <c r="Q38" s="360">
        <v>119</v>
      </c>
      <c r="R38" s="364">
        <v>0</v>
      </c>
      <c r="S38" s="365">
        <v>0.132</v>
      </c>
      <c r="T38" s="365">
        <v>0</v>
      </c>
      <c r="U38" s="365">
        <v>0</v>
      </c>
      <c r="V38" s="366">
        <v>0</v>
      </c>
    </row>
    <row r="39" spans="16:22" ht="12.75">
      <c r="P39" s="333" t="s">
        <v>125</v>
      </c>
      <c r="Q39" s="347">
        <v>237</v>
      </c>
      <c r="R39" s="352">
        <v>0</v>
      </c>
      <c r="S39" s="351">
        <v>0.366</v>
      </c>
      <c r="T39" s="351">
        <v>0</v>
      </c>
      <c r="U39" s="351">
        <v>0.03</v>
      </c>
      <c r="V39" s="349">
        <v>0</v>
      </c>
    </row>
    <row r="40" spans="16:22" ht="12.75">
      <c r="P40" s="335" t="s">
        <v>126</v>
      </c>
      <c r="Q40" s="367">
        <v>360</v>
      </c>
      <c r="R40" s="364">
        <v>0</v>
      </c>
      <c r="S40" s="365">
        <v>0</v>
      </c>
      <c r="T40" s="365">
        <v>0.98</v>
      </c>
      <c r="U40" s="365">
        <v>0.54</v>
      </c>
      <c r="V40" s="366">
        <v>0</v>
      </c>
    </row>
    <row r="41" spans="16:22" ht="12.75">
      <c r="P41" s="333" t="s">
        <v>127</v>
      </c>
      <c r="Q41" s="348">
        <v>474</v>
      </c>
      <c r="R41" s="352">
        <v>0</v>
      </c>
      <c r="S41" s="351">
        <v>0</v>
      </c>
      <c r="T41" s="351">
        <v>0</v>
      </c>
      <c r="U41" s="351">
        <v>0.02</v>
      </c>
      <c r="V41" s="349">
        <v>0</v>
      </c>
    </row>
    <row r="42" spans="16:22" ht="12.75">
      <c r="P42" s="335" t="s">
        <v>128</v>
      </c>
      <c r="Q42" s="367">
        <v>474</v>
      </c>
      <c r="R42" s="364">
        <v>0</v>
      </c>
      <c r="S42" s="365">
        <v>0</v>
      </c>
      <c r="T42" s="365">
        <v>0</v>
      </c>
      <c r="U42" s="365">
        <v>0.21</v>
      </c>
      <c r="V42" s="366">
        <v>0</v>
      </c>
    </row>
    <row r="43" spans="16:22" ht="12.75">
      <c r="P43" s="333" t="s">
        <v>129</v>
      </c>
      <c r="Q43" s="348">
        <v>593</v>
      </c>
      <c r="R43" s="352">
        <v>0</v>
      </c>
      <c r="S43" s="351">
        <v>0</v>
      </c>
      <c r="T43" s="351">
        <v>0</v>
      </c>
      <c r="U43" s="351">
        <v>0</v>
      </c>
      <c r="V43" s="349">
        <v>0.63</v>
      </c>
    </row>
    <row r="44" spans="16:22" ht="13.5" thickBot="1">
      <c r="P44" s="335" t="s">
        <v>130</v>
      </c>
      <c r="Q44" s="367">
        <v>720</v>
      </c>
      <c r="R44" s="364">
        <v>0</v>
      </c>
      <c r="S44" s="365">
        <v>0</v>
      </c>
      <c r="T44" s="365">
        <v>0</v>
      </c>
      <c r="U44" s="365">
        <v>0</v>
      </c>
      <c r="V44" s="366">
        <v>0.09</v>
      </c>
    </row>
    <row r="45" spans="16:22" ht="13.5" thickBot="1">
      <c r="P45" s="353" t="s">
        <v>116</v>
      </c>
      <c r="Q45" s="354"/>
      <c r="R45" s="353">
        <v>1</v>
      </c>
      <c r="S45" s="355">
        <v>0.999</v>
      </c>
      <c r="T45" s="355">
        <v>1</v>
      </c>
      <c r="U45" s="355">
        <v>1</v>
      </c>
      <c r="V45" s="354">
        <v>1</v>
      </c>
    </row>
    <row r="46" spans="16:22" ht="13.5" thickBot="1">
      <c r="P46" s="350" t="s">
        <v>117</v>
      </c>
      <c r="Q46" s="356"/>
      <c r="R46" s="357">
        <v>144</v>
      </c>
      <c r="S46" s="358">
        <v>211.83050000000003</v>
      </c>
      <c r="T46" s="358">
        <v>358.56</v>
      </c>
      <c r="U46" s="358">
        <v>363.475</v>
      </c>
      <c r="V46" s="359">
        <v>534.87</v>
      </c>
    </row>
    <row r="47" spans="16:22" ht="12.75">
      <c r="P47" s="72" t="s">
        <v>275</v>
      </c>
      <c r="Q47" s="72"/>
      <c r="R47" s="72"/>
      <c r="S47" s="72"/>
      <c r="T47" s="72"/>
      <c r="U47" s="72"/>
      <c r="V47" s="72"/>
    </row>
  </sheetData>
  <mergeCells count="13">
    <mergeCell ref="B4:B5"/>
    <mergeCell ref="C4:C5"/>
    <mergeCell ref="D4:D5"/>
    <mergeCell ref="Q5:S5"/>
    <mergeCell ref="M4:N4"/>
    <mergeCell ref="E4:F4"/>
    <mergeCell ref="G4:H4"/>
    <mergeCell ref="I4:J4"/>
    <mergeCell ref="K4:L4"/>
    <mergeCell ref="O7:O8"/>
    <mergeCell ref="V7:V8"/>
    <mergeCell ref="O5:O6"/>
    <mergeCell ref="V5:V6"/>
  </mergeCells>
  <conditionalFormatting sqref="B6:D20">
    <cfRule type="expression" priority="1" dxfId="0" stopIfTrue="1">
      <formula>MOD(ROW(),2)=1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X43"/>
  <sheetViews>
    <sheetView workbookViewId="0" topLeftCell="A1">
      <selection activeCell="I37" sqref="I37"/>
    </sheetView>
  </sheetViews>
  <sheetFormatPr defaultColWidth="9.140625" defaultRowHeight="12.75"/>
  <cols>
    <col min="1" max="1" width="9.140625" style="100" customWidth="1"/>
    <col min="2" max="2" width="18.8515625" style="100" customWidth="1"/>
    <col min="3" max="3" width="9.00390625" style="100" customWidth="1"/>
    <col min="4" max="4" width="11.7109375" style="100" customWidth="1"/>
    <col min="5" max="5" width="11.140625" style="100" customWidth="1"/>
    <col min="6" max="6" width="8.28125" style="100" customWidth="1"/>
    <col min="7" max="7" width="11.140625" style="100" customWidth="1"/>
    <col min="8" max="8" width="9.7109375" style="100" customWidth="1"/>
    <col min="9" max="9" width="8.57421875" style="100" customWidth="1"/>
    <col min="10" max="10" width="7.57421875" style="100" customWidth="1"/>
    <col min="11" max="11" width="8.7109375" style="100" bestFit="1" customWidth="1"/>
    <col min="12" max="12" width="11.28125" style="100" customWidth="1"/>
    <col min="13" max="13" width="43.28125" style="100" customWidth="1"/>
    <col min="14" max="14" width="9.421875" style="100" customWidth="1"/>
    <col min="15" max="15" width="10.140625" style="100" customWidth="1"/>
    <col min="16" max="16" width="9.140625" style="100" customWidth="1"/>
    <col min="17" max="17" width="10.140625" style="100" customWidth="1"/>
    <col min="18" max="18" width="9.140625" style="100" customWidth="1"/>
    <col min="19" max="19" width="10.140625" style="100" customWidth="1"/>
    <col min="20" max="20" width="9.140625" style="100" customWidth="1"/>
    <col min="21" max="21" width="10.140625" style="100" customWidth="1"/>
    <col min="22" max="22" width="9.140625" style="100" customWidth="1"/>
    <col min="23" max="23" width="10.140625" style="100" customWidth="1"/>
    <col min="24" max="16384" width="9.140625" style="100" customWidth="1"/>
  </cols>
  <sheetData>
    <row r="2" spans="2:13" ht="16.5" thickBot="1">
      <c r="B2" s="371" t="s">
        <v>278</v>
      </c>
      <c r="L2" s="116" t="s">
        <v>277</v>
      </c>
      <c r="M2" s="230"/>
    </row>
    <row r="3" spans="2:15" ht="24.75" thickBot="1">
      <c r="B3" s="687" t="s">
        <v>152</v>
      </c>
      <c r="C3" s="690" t="s">
        <v>47</v>
      </c>
      <c r="D3" s="696" t="s">
        <v>196</v>
      </c>
      <c r="E3" s="696"/>
      <c r="F3" s="696"/>
      <c r="G3" s="696"/>
      <c r="H3" s="696"/>
      <c r="I3" s="697"/>
      <c r="L3" s="377" t="s">
        <v>94</v>
      </c>
      <c r="M3" s="385" t="s">
        <v>95</v>
      </c>
      <c r="N3" s="390" t="s">
        <v>93</v>
      </c>
      <c r="O3" s="376" t="s">
        <v>131</v>
      </c>
    </row>
    <row r="4" spans="2:15" ht="12">
      <c r="B4" s="688"/>
      <c r="C4" s="691"/>
      <c r="D4" s="693" t="s">
        <v>153</v>
      </c>
      <c r="E4" s="693"/>
      <c r="F4" s="693"/>
      <c r="G4" s="693"/>
      <c r="H4" s="693"/>
      <c r="I4" s="694"/>
      <c r="L4" s="380" t="s">
        <v>132</v>
      </c>
      <c r="M4" s="386" t="s">
        <v>133</v>
      </c>
      <c r="N4" s="391">
        <f>'High Bay Flur for HID'!T6</f>
        <v>144</v>
      </c>
      <c r="O4" s="381">
        <f>'High Bay Flur for HID'!U6</f>
        <v>294.95</v>
      </c>
    </row>
    <row r="5" spans="2:15" ht="24.75" thickBot="1">
      <c r="B5" s="689"/>
      <c r="C5" s="692"/>
      <c r="D5" s="264" t="s">
        <v>154</v>
      </c>
      <c r="E5" s="264" t="s">
        <v>24</v>
      </c>
      <c r="F5" s="264" t="s">
        <v>20</v>
      </c>
      <c r="G5" s="264" t="s">
        <v>21</v>
      </c>
      <c r="H5" s="264" t="s">
        <v>18</v>
      </c>
      <c r="I5" s="265" t="s">
        <v>25</v>
      </c>
      <c r="L5" s="378" t="s">
        <v>134</v>
      </c>
      <c r="M5" s="387" t="s">
        <v>135</v>
      </c>
      <c r="N5" s="392">
        <f>'High Bay Flur for HID'!T7</f>
        <v>211.83050000000003</v>
      </c>
      <c r="O5" s="379">
        <f>'High Bay Flur for HID'!U7</f>
        <v>458.18</v>
      </c>
    </row>
    <row r="6" spans="2:15" ht="12">
      <c r="B6" s="266" t="s">
        <v>9</v>
      </c>
      <c r="C6" s="267">
        <f>'hours and cf'!C6</f>
        <v>5544.496864111498</v>
      </c>
      <c r="D6" s="268">
        <f aca="true" t="shared" si="0" ref="D6:I20">$X$18/1000*$C6*D$21</f>
        <v>516.9505471527781</v>
      </c>
      <c r="E6" s="268">
        <f t="shared" si="0"/>
        <v>591.4264734375005</v>
      </c>
      <c r="F6" s="268">
        <f t="shared" si="0"/>
        <v>197.14215781250013</v>
      </c>
      <c r="G6" s="268">
        <f t="shared" si="0"/>
        <v>700.9498944444449</v>
      </c>
      <c r="H6" s="268">
        <f t="shared" si="0"/>
        <v>617.7120944791671</v>
      </c>
      <c r="I6" s="269">
        <f t="shared" si="0"/>
        <v>524.8362334652782</v>
      </c>
      <c r="L6" s="380" t="s">
        <v>136</v>
      </c>
      <c r="M6" s="388" t="s">
        <v>137</v>
      </c>
      <c r="N6" s="393">
        <f>'High Bay Flur for HID'!T8</f>
        <v>358.56</v>
      </c>
      <c r="O6" s="382">
        <f>'High Bay Flur for HID'!U8</f>
        <v>462.09999999999997</v>
      </c>
    </row>
    <row r="7" spans="2:15" ht="12">
      <c r="B7" s="270" t="s">
        <v>11</v>
      </c>
      <c r="C7" s="271">
        <f>'hours and cf'!C7</f>
        <v>4482.455981416957</v>
      </c>
      <c r="D7" s="272">
        <f t="shared" si="0"/>
        <v>417.9293683400919</v>
      </c>
      <c r="E7" s="272">
        <f t="shared" si="0"/>
        <v>478.1395315755289</v>
      </c>
      <c r="F7" s="272">
        <f t="shared" si="0"/>
        <v>159.37984385850962</v>
      </c>
      <c r="G7" s="272">
        <f t="shared" si="0"/>
        <v>566.6838892747008</v>
      </c>
      <c r="H7" s="272">
        <f t="shared" si="0"/>
        <v>499.39017742333016</v>
      </c>
      <c r="I7" s="273">
        <f t="shared" si="0"/>
        <v>424.3045620944323</v>
      </c>
      <c r="L7" s="378" t="s">
        <v>138</v>
      </c>
      <c r="M7" s="387" t="s">
        <v>139</v>
      </c>
      <c r="N7" s="392">
        <f>'High Bay Flur for HID'!T9</f>
        <v>363.475</v>
      </c>
      <c r="O7" s="379">
        <f>'High Bay Flur for HID'!U9</f>
        <v>1080.4</v>
      </c>
    </row>
    <row r="8" spans="2:15" ht="12.75" thickBot="1">
      <c r="B8" s="274" t="s">
        <v>13</v>
      </c>
      <c r="C8" s="275">
        <f>'hours and cf'!C8</f>
        <v>3677.4786171063142</v>
      </c>
      <c r="D8" s="276">
        <f t="shared" si="0"/>
        <v>342.8759416496481</v>
      </c>
      <c r="E8" s="276">
        <f t="shared" si="0"/>
        <v>392.27332307374996</v>
      </c>
      <c r="F8" s="276">
        <f t="shared" si="0"/>
        <v>130.75777435791665</v>
      </c>
      <c r="G8" s="276">
        <f t="shared" si="0"/>
        <v>464.91653105037034</v>
      </c>
      <c r="H8" s="276">
        <f t="shared" si="0"/>
        <v>409.70769298813883</v>
      </c>
      <c r="I8" s="277">
        <f t="shared" si="0"/>
        <v>348.1062526239648</v>
      </c>
      <c r="L8" s="383" t="s">
        <v>140</v>
      </c>
      <c r="M8" s="389" t="s">
        <v>141</v>
      </c>
      <c r="N8" s="394">
        <f>'High Bay Flur for HID'!T10</f>
        <v>534.87</v>
      </c>
      <c r="O8" s="384">
        <f>'High Bay Flur for HID'!U10</f>
        <v>1080.4</v>
      </c>
    </row>
    <row r="9" spans="2:9" ht="12">
      <c r="B9" s="270" t="s">
        <v>15</v>
      </c>
      <c r="C9" s="271">
        <f>'hours and cf'!C9</f>
        <v>3355.9109900090825</v>
      </c>
      <c r="D9" s="272">
        <f t="shared" si="0"/>
        <v>312.8940398019728</v>
      </c>
      <c r="E9" s="272">
        <f t="shared" si="0"/>
        <v>357.9719946886977</v>
      </c>
      <c r="F9" s="272">
        <f t="shared" si="0"/>
        <v>119.32399822956589</v>
      </c>
      <c r="G9" s="272">
        <f t="shared" si="0"/>
        <v>424.26310481623426</v>
      </c>
      <c r="H9" s="272">
        <f t="shared" si="0"/>
        <v>373.88186111930645</v>
      </c>
      <c r="I9" s="273">
        <f t="shared" si="0"/>
        <v>317.6669997311554</v>
      </c>
    </row>
    <row r="10" spans="2:9" ht="12.75" thickBot="1">
      <c r="B10" s="274" t="s">
        <v>17</v>
      </c>
      <c r="C10" s="275">
        <f>'hours and cf'!C10</f>
        <v>3525.559930313588</v>
      </c>
      <c r="D10" s="276">
        <f t="shared" si="0"/>
        <v>328.71154581987133</v>
      </c>
      <c r="E10" s="276">
        <f t="shared" si="0"/>
        <v>376.068293946463</v>
      </c>
      <c r="F10" s="276">
        <f t="shared" si="0"/>
        <v>125.35609798215432</v>
      </c>
      <c r="G10" s="276">
        <f t="shared" si="0"/>
        <v>445.7105706032154</v>
      </c>
      <c r="H10" s="276">
        <f t="shared" si="0"/>
        <v>392.78244034408357</v>
      </c>
      <c r="I10" s="277">
        <f t="shared" si="0"/>
        <v>333.7257897391575</v>
      </c>
    </row>
    <row r="11" spans="2:24" ht="16.5" thickBot="1">
      <c r="B11" s="270" t="s">
        <v>18</v>
      </c>
      <c r="C11" s="271">
        <f>'hours and cf'!C11</f>
        <v>2728.677489177489</v>
      </c>
      <c r="D11" s="272">
        <f t="shared" si="0"/>
        <v>254.4128629892945</v>
      </c>
      <c r="E11" s="272">
        <f t="shared" si="0"/>
        <v>291.0655635894471</v>
      </c>
      <c r="F11" s="272">
        <f t="shared" si="0"/>
        <v>97.0218545298157</v>
      </c>
      <c r="G11" s="272">
        <f t="shared" si="0"/>
        <v>344.96659388378913</v>
      </c>
      <c r="H11" s="272">
        <f t="shared" si="0"/>
        <v>304.00181086008917</v>
      </c>
      <c r="I11" s="273">
        <f t="shared" si="0"/>
        <v>258.29373717048713</v>
      </c>
      <c r="K11" s="230"/>
      <c r="L11" s="545" t="s">
        <v>279</v>
      </c>
      <c r="M11" s="230"/>
      <c r="O11" s="700" t="s">
        <v>233</v>
      </c>
      <c r="P11" s="698"/>
      <c r="Q11" s="700" t="s">
        <v>234</v>
      </c>
      <c r="R11" s="699"/>
      <c r="S11" s="698" t="s">
        <v>235</v>
      </c>
      <c r="T11" s="698"/>
      <c r="U11" s="700" t="s">
        <v>236</v>
      </c>
      <c r="V11" s="699"/>
      <c r="W11" s="698" t="s">
        <v>237</v>
      </c>
      <c r="X11" s="699"/>
    </row>
    <row r="12" spans="2:24" ht="24.75" thickBot="1">
      <c r="B12" s="274" t="s">
        <v>159</v>
      </c>
      <c r="C12" s="275">
        <f>'hours and cf'!C12</f>
        <v>3425.1238805970147</v>
      </c>
      <c r="D12" s="276">
        <f t="shared" si="0"/>
        <v>319.34722077337017</v>
      </c>
      <c r="E12" s="276">
        <f t="shared" si="0"/>
        <v>365.354871223771</v>
      </c>
      <c r="F12" s="276">
        <f t="shared" si="0"/>
        <v>121.78495707459032</v>
      </c>
      <c r="G12" s="276">
        <f t="shared" si="0"/>
        <v>433.0131807096545</v>
      </c>
      <c r="H12" s="276">
        <f t="shared" si="0"/>
        <v>381.592865500383</v>
      </c>
      <c r="I12" s="277">
        <f t="shared" si="0"/>
        <v>324.2186190563538</v>
      </c>
      <c r="L12" s="552" t="s">
        <v>94</v>
      </c>
      <c r="M12" s="396" t="s">
        <v>95</v>
      </c>
      <c r="N12" s="397" t="s">
        <v>98</v>
      </c>
      <c r="O12" s="405" t="s">
        <v>281</v>
      </c>
      <c r="P12" s="400" t="s">
        <v>259</v>
      </c>
      <c r="Q12" s="405" t="s">
        <v>281</v>
      </c>
      <c r="R12" s="401" t="s">
        <v>259</v>
      </c>
      <c r="S12" s="402" t="s">
        <v>281</v>
      </c>
      <c r="T12" s="400" t="s">
        <v>259</v>
      </c>
      <c r="U12" s="405" t="s">
        <v>281</v>
      </c>
      <c r="V12" s="401" t="s">
        <v>259</v>
      </c>
      <c r="W12" s="402" t="s">
        <v>281</v>
      </c>
      <c r="X12" s="401" t="s">
        <v>259</v>
      </c>
    </row>
    <row r="13" spans="2:24" ht="12">
      <c r="B13" s="270" t="s">
        <v>20</v>
      </c>
      <c r="C13" s="271">
        <f>'hours and cf'!C13</f>
        <v>4225.849196263871</v>
      </c>
      <c r="D13" s="272">
        <f t="shared" si="0"/>
        <v>394.0042005134778</v>
      </c>
      <c r="E13" s="272">
        <f t="shared" si="0"/>
        <v>450.76751753660596</v>
      </c>
      <c r="F13" s="272">
        <f t="shared" si="0"/>
        <v>150.25583917886865</v>
      </c>
      <c r="G13" s="272">
        <f t="shared" si="0"/>
        <v>534.2429837470886</v>
      </c>
      <c r="H13" s="272">
        <f t="shared" si="0"/>
        <v>470.8016294271218</v>
      </c>
      <c r="I13" s="273">
        <f t="shared" si="0"/>
        <v>400.01443408063255</v>
      </c>
      <c r="L13" s="553">
        <v>2.517</v>
      </c>
      <c r="M13" s="546" t="s">
        <v>133</v>
      </c>
      <c r="N13" s="547">
        <v>144</v>
      </c>
      <c r="O13" s="548">
        <v>196</v>
      </c>
      <c r="P13" s="549">
        <f>O13/O$18</f>
        <v>0.1391057487579844</v>
      </c>
      <c r="Q13" s="548">
        <v>1230</v>
      </c>
      <c r="R13" s="550">
        <f>Q13/Q$18</f>
        <v>0.051228654727197</v>
      </c>
      <c r="S13" s="551">
        <v>5080</v>
      </c>
      <c r="T13" s="549">
        <f>S13/S$18</f>
        <v>0.0965614248512612</v>
      </c>
      <c r="U13" s="548">
        <v>1062</v>
      </c>
      <c r="V13" s="550">
        <f>U13/U$18</f>
        <v>0.18495297805642633</v>
      </c>
      <c r="W13" s="551">
        <f>O13+Q13+S13+U13</f>
        <v>7568</v>
      </c>
      <c r="X13" s="550">
        <f>W13/W$18</f>
        <v>0.09034260475110421</v>
      </c>
    </row>
    <row r="14" spans="2:24" ht="12">
      <c r="B14" s="274" t="s">
        <v>21</v>
      </c>
      <c r="C14" s="275">
        <f>'hours and cf'!C14</f>
        <v>3464.4046762589924</v>
      </c>
      <c r="D14" s="276">
        <f t="shared" si="0"/>
        <v>323.009632225254</v>
      </c>
      <c r="E14" s="276">
        <f t="shared" si="0"/>
        <v>369.5449182238076</v>
      </c>
      <c r="F14" s="276">
        <f t="shared" si="0"/>
        <v>123.18163940793585</v>
      </c>
      <c r="G14" s="276">
        <f t="shared" si="0"/>
        <v>437.9791623393275</v>
      </c>
      <c r="H14" s="276">
        <f t="shared" si="0"/>
        <v>385.96913681153234</v>
      </c>
      <c r="I14" s="277">
        <f t="shared" si="0"/>
        <v>327.93689780157143</v>
      </c>
      <c r="L14" s="554">
        <v>2.518</v>
      </c>
      <c r="M14" s="395" t="s">
        <v>135</v>
      </c>
      <c r="N14" s="398">
        <v>212</v>
      </c>
      <c r="O14" s="404">
        <v>1036</v>
      </c>
      <c r="P14" s="278">
        <f>O14/O$18</f>
        <v>0.7352732434350603</v>
      </c>
      <c r="Q14" s="404">
        <v>14739</v>
      </c>
      <c r="R14" s="399">
        <f>Q14/Q$18</f>
        <v>0.6138692211578509</v>
      </c>
      <c r="S14" s="403">
        <v>39381</v>
      </c>
      <c r="T14" s="278">
        <f>S14/S$18</f>
        <v>0.7485601322967553</v>
      </c>
      <c r="U14" s="404">
        <v>4043</v>
      </c>
      <c r="V14" s="399">
        <f>U14/U$18</f>
        <v>0.7041100661790317</v>
      </c>
      <c r="W14" s="403">
        <f>O14+Q14+S14+U14</f>
        <v>59199</v>
      </c>
      <c r="X14" s="399">
        <f>W14/W$18</f>
        <v>0.706684970753253</v>
      </c>
    </row>
    <row r="15" spans="2:24" ht="12">
      <c r="B15" s="270" t="s">
        <v>22</v>
      </c>
      <c r="C15" s="271">
        <f>'hours and cf'!C15</f>
        <v>2301.6893571042683</v>
      </c>
      <c r="D15" s="272">
        <f t="shared" si="0"/>
        <v>214.60190197464414</v>
      </c>
      <c r="E15" s="272">
        <f t="shared" si="0"/>
        <v>245.51912514048274</v>
      </c>
      <c r="F15" s="272">
        <f t="shared" si="0"/>
        <v>81.8397083801609</v>
      </c>
      <c r="G15" s="272">
        <f t="shared" si="0"/>
        <v>290.9856297961277</v>
      </c>
      <c r="H15" s="272">
        <f t="shared" si="0"/>
        <v>256.4310862578375</v>
      </c>
      <c r="I15" s="273">
        <f t="shared" si="0"/>
        <v>217.8754903098506</v>
      </c>
      <c r="L15" s="553">
        <v>2.5182</v>
      </c>
      <c r="M15" s="546" t="s">
        <v>137</v>
      </c>
      <c r="N15" s="547">
        <v>359</v>
      </c>
      <c r="O15" s="548">
        <v>177</v>
      </c>
      <c r="P15" s="549">
        <f>O15/O$18</f>
        <v>0.1256210078069553</v>
      </c>
      <c r="Q15" s="548">
        <v>7290</v>
      </c>
      <c r="R15" s="550">
        <f>Q15/Q$18</f>
        <v>0.3036234902124115</v>
      </c>
      <c r="S15" s="551">
        <v>5440</v>
      </c>
      <c r="T15" s="549">
        <f>S15/S$18</f>
        <v>0.1034043604706419</v>
      </c>
      <c r="U15" s="548">
        <v>531</v>
      </c>
      <c r="V15" s="550">
        <f>U15/U$18</f>
        <v>0.09247648902821316</v>
      </c>
      <c r="W15" s="551">
        <f>O15+Q15+S15+U15</f>
        <v>13438</v>
      </c>
      <c r="X15" s="550">
        <f>W15/W$18</f>
        <v>0.16041542318252358</v>
      </c>
    </row>
    <row r="16" spans="2:24" ht="12">
      <c r="B16" s="274" t="s">
        <v>23</v>
      </c>
      <c r="C16" s="275">
        <f>'hours and cf'!C16</f>
        <v>3900</v>
      </c>
      <c r="D16" s="276">
        <f t="shared" si="0"/>
        <v>363.6230993195655</v>
      </c>
      <c r="E16" s="276">
        <f t="shared" si="0"/>
        <v>416.0094780350961</v>
      </c>
      <c r="F16" s="276">
        <f t="shared" si="0"/>
        <v>138.6698260116987</v>
      </c>
      <c r="G16" s="276">
        <f t="shared" si="0"/>
        <v>493.0482702638176</v>
      </c>
      <c r="H16" s="276">
        <f t="shared" si="0"/>
        <v>434.4987881699892</v>
      </c>
      <c r="I16" s="277">
        <f t="shared" si="0"/>
        <v>369.16989236003343</v>
      </c>
      <c r="L16" s="554">
        <v>2.5185</v>
      </c>
      <c r="M16" s="395" t="s">
        <v>238</v>
      </c>
      <c r="N16" s="398">
        <v>363</v>
      </c>
      <c r="O16" s="404">
        <v>0</v>
      </c>
      <c r="P16" s="278">
        <f>O16/O$18</f>
        <v>0</v>
      </c>
      <c r="Q16" s="404">
        <v>601</v>
      </c>
      <c r="R16" s="399">
        <f>Q16/Q$18</f>
        <v>0.025031236984589755</v>
      </c>
      <c r="S16" s="403">
        <v>2327</v>
      </c>
      <c r="T16" s="278">
        <f>S16/S$18</f>
        <v>0.044231975517497</v>
      </c>
      <c r="U16" s="404">
        <v>63</v>
      </c>
      <c r="V16" s="399">
        <f>U16/U$18</f>
        <v>0.0109717868338558</v>
      </c>
      <c r="W16" s="403">
        <f>O16+Q16+S16+U16</f>
        <v>2991</v>
      </c>
      <c r="X16" s="399">
        <f>W16/W$18</f>
        <v>0.035704906291034975</v>
      </c>
    </row>
    <row r="17" spans="2:24" ht="12.75" thickBot="1">
      <c r="B17" s="270" t="s">
        <v>143</v>
      </c>
      <c r="C17" s="271">
        <f>'hours and cf'!C17</f>
        <v>986</v>
      </c>
      <c r="D17" s="272">
        <f t="shared" si="0"/>
        <v>91.9313784433568</v>
      </c>
      <c r="E17" s="272">
        <f t="shared" si="0"/>
        <v>105.17572957502686</v>
      </c>
      <c r="F17" s="272">
        <f t="shared" si="0"/>
        <v>35.05857652500895</v>
      </c>
      <c r="G17" s="272">
        <f t="shared" si="0"/>
        <v>124.65271653336517</v>
      </c>
      <c r="H17" s="272">
        <f t="shared" si="0"/>
        <v>109.85020644502805</v>
      </c>
      <c r="I17" s="273">
        <f t="shared" si="0"/>
        <v>93.33372150435717</v>
      </c>
      <c r="L17" s="555">
        <v>2.5186</v>
      </c>
      <c r="M17" s="546" t="s">
        <v>141</v>
      </c>
      <c r="N17" s="547">
        <v>535</v>
      </c>
      <c r="O17" s="548">
        <v>0</v>
      </c>
      <c r="P17" s="549">
        <f>O17/O$18</f>
        <v>0</v>
      </c>
      <c r="Q17" s="548">
        <v>150</v>
      </c>
      <c r="R17" s="550">
        <f>Q17/Q$18</f>
        <v>0.006247396917950854</v>
      </c>
      <c r="S17" s="551">
        <v>381</v>
      </c>
      <c r="T17" s="549">
        <f>S17/S$18</f>
        <v>0.0072421068638445895</v>
      </c>
      <c r="U17" s="548">
        <v>43</v>
      </c>
      <c r="V17" s="550">
        <f>U17/U$18</f>
        <v>0.007488679902473006</v>
      </c>
      <c r="W17" s="551">
        <f>O17+Q17+S17+U17</f>
        <v>574</v>
      </c>
      <c r="X17" s="550">
        <f>W17/W$18</f>
        <v>0.006852095022084279</v>
      </c>
    </row>
    <row r="18" spans="2:24" ht="12.75" thickBot="1">
      <c r="B18" s="274" t="s">
        <v>24</v>
      </c>
      <c r="C18" s="275">
        <f>'hours and cf'!C18</f>
        <v>4745.3302752293575</v>
      </c>
      <c r="D18" s="276">
        <f t="shared" si="0"/>
        <v>442.4388979420168</v>
      </c>
      <c r="E18" s="276">
        <f t="shared" si="0"/>
        <v>506.1800951031548</v>
      </c>
      <c r="F18" s="276">
        <f t="shared" si="0"/>
        <v>168.72669836771828</v>
      </c>
      <c r="G18" s="276">
        <f t="shared" si="0"/>
        <v>599.9171497518872</v>
      </c>
      <c r="H18" s="276">
        <f t="shared" si="0"/>
        <v>528.6769882188506</v>
      </c>
      <c r="I18" s="277">
        <f t="shared" si="0"/>
        <v>449.1879658767255</v>
      </c>
      <c r="L18" s="406"/>
      <c r="M18" s="407" t="s">
        <v>282</v>
      </c>
      <c r="N18" s="408"/>
      <c r="O18" s="409">
        <f>SUM(O13:O17)</f>
        <v>1409</v>
      </c>
      <c r="P18" s="410">
        <f>SUMPRODUCT($N$13:$N$17,P13:P17)</f>
        <v>221.00709723207945</v>
      </c>
      <c r="Q18" s="409">
        <f>SUM(Q13:Q17)</f>
        <v>24010</v>
      </c>
      <c r="R18" s="411">
        <f>SUMPRODUCT($N$13:$N$17,R13:R17)</f>
        <v>258.94673052894626</v>
      </c>
      <c r="S18" s="412">
        <f>SUM(S13:S17)</f>
        <v>52609</v>
      </c>
      <c r="T18" s="410">
        <f>SUMPRODUCT($N$13:$N$17,T13:T17)</f>
        <v>229.65249291946247</v>
      </c>
      <c r="U18" s="409">
        <f>SUM(U13:U17)</f>
        <v>5742</v>
      </c>
      <c r="V18" s="411">
        <f>SUMPRODUCT($N$13:$N$17,V13:V17)</f>
        <v>217.09282479972134</v>
      </c>
      <c r="W18" s="412">
        <f>SUM(W13:W17)</f>
        <v>83770</v>
      </c>
      <c r="X18" s="411">
        <f>SUMPRODUCT($N$13:$N$17,X13:X17)</f>
        <v>237.04243762683538</v>
      </c>
    </row>
    <row r="19" spans="2:12" ht="12">
      <c r="B19" s="270" t="s">
        <v>155</v>
      </c>
      <c r="C19" s="271">
        <f>'hours and cf'!C19</f>
        <v>4698.114640883978</v>
      </c>
      <c r="D19" s="272">
        <f t="shared" si="0"/>
        <v>438.03666837868184</v>
      </c>
      <c r="E19" s="272">
        <f t="shared" si="0"/>
        <v>501.14364602645804</v>
      </c>
      <c r="F19" s="272">
        <f t="shared" si="0"/>
        <v>167.04788200881936</v>
      </c>
      <c r="G19" s="272">
        <f t="shared" si="0"/>
        <v>593.9480249202466</v>
      </c>
      <c r="H19" s="272">
        <f t="shared" si="0"/>
        <v>523.4166969609672</v>
      </c>
      <c r="I19" s="273">
        <f t="shared" si="0"/>
        <v>444.7185836590346</v>
      </c>
      <c r="L19" s="100" t="s">
        <v>280</v>
      </c>
    </row>
    <row r="20" spans="2:9" ht="12.75" thickBot="1">
      <c r="B20" s="279" t="s">
        <v>25</v>
      </c>
      <c r="C20" s="280">
        <f>'hours and cf'!C20</f>
        <v>3672.394884092725</v>
      </c>
      <c r="D20" s="281">
        <f t="shared" si="0"/>
        <v>342.4019511997726</v>
      </c>
      <c r="E20" s="281">
        <f t="shared" si="0"/>
        <v>391.7310458641466</v>
      </c>
      <c r="F20" s="281">
        <f t="shared" si="0"/>
        <v>130.57701528804887</v>
      </c>
      <c r="G20" s="281">
        <f t="shared" si="0"/>
        <v>464.27383213528486</v>
      </c>
      <c r="H20" s="281">
        <f t="shared" si="0"/>
        <v>409.1413145692198</v>
      </c>
      <c r="I20" s="282">
        <f t="shared" si="0"/>
        <v>347.62503181129455</v>
      </c>
    </row>
    <row r="21" spans="2:9" ht="12">
      <c r="B21" s="283" t="s">
        <v>156</v>
      </c>
      <c r="C21" s="284"/>
      <c r="D21" s="285">
        <v>0.3933333333333333</v>
      </c>
      <c r="E21" s="285">
        <v>0.45</v>
      </c>
      <c r="F21" s="285">
        <v>0.15</v>
      </c>
      <c r="G21" s="285">
        <v>0.5333333333333333</v>
      </c>
      <c r="H21" s="285">
        <v>0.47</v>
      </c>
      <c r="I21" s="286">
        <v>0.3993333333333333</v>
      </c>
    </row>
    <row r="22" spans="2:9" ht="12.75" thickBot="1">
      <c r="B22" s="287" t="s">
        <v>157</v>
      </c>
      <c r="C22" s="288"/>
      <c r="D22" s="289">
        <v>0.145</v>
      </c>
      <c r="E22" s="289">
        <v>0.18</v>
      </c>
      <c r="F22" s="289">
        <v>0.06</v>
      </c>
      <c r="G22" s="289">
        <v>0.18</v>
      </c>
      <c r="H22" s="289">
        <v>0.12</v>
      </c>
      <c r="I22" s="290">
        <v>0.137</v>
      </c>
    </row>
    <row r="23" spans="2:9" ht="12.75" thickBot="1">
      <c r="B23" s="291" t="s">
        <v>158</v>
      </c>
      <c r="C23" s="292"/>
      <c r="D23" s="609">
        <f aca="true" t="shared" si="1" ref="D23:I23">$X$18/1000*D22</f>
        <v>0.034371153455891125</v>
      </c>
      <c r="E23" s="609">
        <f t="shared" si="1"/>
        <v>0.04266763877283037</v>
      </c>
      <c r="F23" s="609">
        <f t="shared" si="1"/>
        <v>0.014222546257610123</v>
      </c>
      <c r="G23" s="609">
        <f t="shared" si="1"/>
        <v>0.04266763877283037</v>
      </c>
      <c r="H23" s="609">
        <f t="shared" si="1"/>
        <v>0.028445092515220247</v>
      </c>
      <c r="I23" s="610">
        <f t="shared" si="1"/>
        <v>0.03247481395487645</v>
      </c>
    </row>
    <row r="26" ht="12">
      <c r="F26" s="293"/>
    </row>
    <row r="27" spans="3:5" ht="12">
      <c r="C27" s="695"/>
      <c r="D27" s="695"/>
      <c r="E27" s="695"/>
    </row>
    <row r="28" spans="3:5" ht="12">
      <c r="C28" s="695"/>
      <c r="D28" s="695"/>
      <c r="E28" s="695"/>
    </row>
    <row r="29" spans="3:5" ht="12">
      <c r="C29" s="294"/>
      <c r="D29" s="295"/>
      <c r="E29" s="296"/>
    </row>
    <row r="30" spans="3:5" ht="12">
      <c r="C30" s="294"/>
      <c r="D30" s="295"/>
      <c r="E30" s="296"/>
    </row>
    <row r="31" spans="3:5" ht="12">
      <c r="C31" s="294"/>
      <c r="D31" s="295"/>
      <c r="E31" s="296"/>
    </row>
    <row r="32" spans="3:5" ht="12">
      <c r="C32" s="294"/>
      <c r="D32" s="295"/>
      <c r="E32" s="296"/>
    </row>
    <row r="33" spans="3:5" ht="12">
      <c r="C33" s="294"/>
      <c r="D33" s="295"/>
      <c r="E33" s="296"/>
    </row>
    <row r="34" spans="3:5" ht="12.75" customHeight="1">
      <c r="C34" s="294"/>
      <c r="D34" s="295"/>
      <c r="E34" s="296"/>
    </row>
    <row r="35" spans="3:5" ht="12">
      <c r="C35" s="294"/>
      <c r="D35" s="295"/>
      <c r="E35" s="296"/>
    </row>
    <row r="36" spans="3:5" ht="12">
      <c r="C36" s="294"/>
      <c r="D36" s="295"/>
      <c r="E36" s="296"/>
    </row>
    <row r="37" spans="3:5" ht="12">
      <c r="C37" s="294"/>
      <c r="D37" s="295"/>
      <c r="E37" s="296"/>
    </row>
    <row r="38" spans="3:5" ht="12">
      <c r="C38" s="294"/>
      <c r="D38" s="295"/>
      <c r="E38" s="296"/>
    </row>
    <row r="39" spans="3:5" ht="12">
      <c r="C39" s="294"/>
      <c r="D39" s="295"/>
      <c r="E39" s="296"/>
    </row>
    <row r="40" spans="3:5" ht="12">
      <c r="C40" s="294"/>
      <c r="D40" s="295"/>
      <c r="E40" s="296"/>
    </row>
    <row r="41" spans="3:5" ht="12">
      <c r="C41" s="294"/>
      <c r="D41" s="295"/>
      <c r="E41" s="296"/>
    </row>
    <row r="42" spans="3:5" ht="12">
      <c r="C42" s="294"/>
      <c r="D42" s="297"/>
      <c r="E42" s="296"/>
    </row>
    <row r="43" spans="3:5" ht="12">
      <c r="C43" s="294"/>
      <c r="D43" s="295"/>
      <c r="E43" s="296"/>
    </row>
  </sheetData>
  <mergeCells count="12">
    <mergeCell ref="W11:X11"/>
    <mergeCell ref="O11:P11"/>
    <mergeCell ref="Q11:R11"/>
    <mergeCell ref="S11:T11"/>
    <mergeCell ref="U11:V11"/>
    <mergeCell ref="B3:B5"/>
    <mergeCell ref="C3:C5"/>
    <mergeCell ref="D4:I4"/>
    <mergeCell ref="C27:C28"/>
    <mergeCell ref="D27:D28"/>
    <mergeCell ref="E27:E28"/>
    <mergeCell ref="D3:I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N56"/>
  <sheetViews>
    <sheetView workbookViewId="0" topLeftCell="A1">
      <selection activeCell="E28" sqref="E28"/>
    </sheetView>
  </sheetViews>
  <sheetFormatPr defaultColWidth="9.140625" defaultRowHeight="12.75"/>
  <cols>
    <col min="1" max="1" width="11.57421875" style="100" bestFit="1" customWidth="1"/>
    <col min="2" max="2" width="14.140625" style="100" bestFit="1" customWidth="1"/>
    <col min="3" max="3" width="8.28125" style="100" customWidth="1"/>
    <col min="4" max="4" width="6.28125" style="100" customWidth="1"/>
    <col min="5" max="5" width="9.140625" style="100" customWidth="1"/>
    <col min="6" max="6" width="6.7109375" style="100" customWidth="1"/>
    <col min="7" max="7" width="9.8515625" style="100" bestFit="1" customWidth="1"/>
    <col min="8" max="8" width="8.57421875" style="100" customWidth="1"/>
    <col min="9" max="10" width="9.140625" style="100" customWidth="1"/>
    <col min="11" max="11" width="11.140625" style="100" customWidth="1"/>
    <col min="12" max="12" width="43.57421875" style="100" customWidth="1"/>
    <col min="13" max="13" width="7.28125" style="100" customWidth="1"/>
    <col min="14" max="14" width="6.00390625" style="100" customWidth="1"/>
    <col min="15" max="15" width="5.7109375" style="100" bestFit="1" customWidth="1"/>
    <col min="16" max="16" width="7.140625" style="100" customWidth="1"/>
    <col min="17" max="18" width="5.7109375" style="100" bestFit="1" customWidth="1"/>
    <col min="19" max="19" width="5.57421875" style="100" bestFit="1" customWidth="1"/>
    <col min="20" max="20" width="8.00390625" style="100" bestFit="1" customWidth="1"/>
    <col min="21" max="21" width="9.8515625" style="100" customWidth="1"/>
    <col min="22" max="22" width="5.57421875" style="100" bestFit="1" customWidth="1"/>
    <col min="23" max="23" width="5.7109375" style="100" customWidth="1"/>
    <col min="24" max="24" width="5.57421875" style="100" bestFit="1" customWidth="1"/>
    <col min="25" max="27" width="5.7109375" style="100" bestFit="1" customWidth="1"/>
    <col min="28" max="28" width="5.57421875" style="100" bestFit="1" customWidth="1"/>
    <col min="29" max="31" width="5.7109375" style="100" bestFit="1" customWidth="1"/>
    <col min="32" max="32" width="8.7109375" style="100" bestFit="1" customWidth="1"/>
    <col min="33" max="33" width="14.421875" style="100" customWidth="1"/>
    <col min="34" max="34" width="10.7109375" style="100" customWidth="1"/>
    <col min="35" max="35" width="9.8515625" style="100" customWidth="1"/>
    <col min="36" max="36" width="9.140625" style="100" customWidth="1"/>
    <col min="37" max="37" width="10.57421875" style="100" customWidth="1"/>
    <col min="38" max="38" width="12.421875" style="100" customWidth="1"/>
    <col min="39" max="39" width="12.00390625" style="100" customWidth="1"/>
    <col min="40" max="40" width="9.140625" style="100" customWidth="1"/>
    <col min="41" max="41" width="6.57421875" style="100" customWidth="1"/>
    <col min="42" max="42" width="6.8515625" style="100" customWidth="1"/>
    <col min="43" max="46" width="6.8515625" style="100" bestFit="1" customWidth="1"/>
    <col min="47" max="47" width="6.421875" style="100" bestFit="1" customWidth="1"/>
    <col min="48" max="48" width="6.8515625" style="100" bestFit="1" customWidth="1"/>
    <col min="49" max="49" width="6.57421875" style="100" bestFit="1" customWidth="1"/>
    <col min="50" max="50" width="5.140625" style="100" bestFit="1" customWidth="1"/>
    <col min="51" max="16384" width="9.140625" style="100" customWidth="1"/>
  </cols>
  <sheetData>
    <row r="2" spans="9:21" ht="12.75" customHeight="1">
      <c r="I2" s="112"/>
      <c r="J2" s="112"/>
      <c r="O2" s="112"/>
      <c r="P2" s="112"/>
      <c r="Q2" s="112"/>
      <c r="R2" s="112"/>
      <c r="S2" s="112"/>
      <c r="T2" s="112"/>
      <c r="U2" s="112"/>
    </row>
    <row r="3" spans="2:40" ht="16.5" thickBot="1">
      <c r="B3" s="371" t="s">
        <v>278</v>
      </c>
      <c r="AG3" s="430" t="s">
        <v>239</v>
      </c>
      <c r="AH3" s="135"/>
      <c r="AI3" s="135"/>
      <c r="AJ3" s="135"/>
      <c r="AK3" s="135"/>
      <c r="AL3" s="135"/>
      <c r="AM3" s="135"/>
      <c r="AN3" s="135"/>
    </row>
    <row r="4" spans="2:40" ht="26.25" thickBot="1">
      <c r="B4" s="708" t="s">
        <v>1</v>
      </c>
      <c r="C4" s="708" t="s">
        <v>283</v>
      </c>
      <c r="D4" s="708" t="s">
        <v>48</v>
      </c>
      <c r="E4" s="713" t="s">
        <v>148</v>
      </c>
      <c r="F4" s="714"/>
      <c r="G4" s="714"/>
      <c r="H4" s="715"/>
      <c r="AG4" s="431" t="s">
        <v>240</v>
      </c>
      <c r="AH4" s="432" t="s">
        <v>241</v>
      </c>
      <c r="AI4" s="433" t="s">
        <v>242</v>
      </c>
      <c r="AJ4" s="433" t="s">
        <v>243</v>
      </c>
      <c r="AK4" s="433" t="s">
        <v>244</v>
      </c>
      <c r="AL4" s="433" t="s">
        <v>245</v>
      </c>
      <c r="AM4" s="433" t="s">
        <v>246</v>
      </c>
      <c r="AN4" s="434" t="s">
        <v>247</v>
      </c>
    </row>
    <row r="5" spans="2:40" ht="12.75">
      <c r="B5" s="709"/>
      <c r="C5" s="709"/>
      <c r="D5" s="709"/>
      <c r="E5" s="711" t="s">
        <v>149</v>
      </c>
      <c r="F5" s="712"/>
      <c r="G5" s="711" t="s">
        <v>150</v>
      </c>
      <c r="H5" s="712"/>
      <c r="AG5" s="439" t="s">
        <v>248</v>
      </c>
      <c r="AH5" s="440">
        <v>1</v>
      </c>
      <c r="AI5" s="453">
        <v>36</v>
      </c>
      <c r="AJ5" s="441">
        <v>20.459228</v>
      </c>
      <c r="AK5" s="441">
        <v>79.415652</v>
      </c>
      <c r="AL5" s="441">
        <v>58.956424</v>
      </c>
      <c r="AM5" s="441">
        <v>55.652225</v>
      </c>
      <c r="AN5" s="448">
        <v>2901.866017857143</v>
      </c>
    </row>
    <row r="6" spans="2:40" ht="12.75" customHeight="1" thickBot="1">
      <c r="B6" s="710"/>
      <c r="C6" s="710"/>
      <c r="D6" s="710"/>
      <c r="E6" s="102" t="s">
        <v>89</v>
      </c>
      <c r="F6" s="102" t="s">
        <v>90</v>
      </c>
      <c r="G6" s="102" t="s">
        <v>89</v>
      </c>
      <c r="H6" s="102" t="s">
        <v>90</v>
      </c>
      <c r="K6" s="565" t="s">
        <v>94</v>
      </c>
      <c r="L6" s="565" t="s">
        <v>95</v>
      </c>
      <c r="M6" s="565" t="s">
        <v>286</v>
      </c>
      <c r="N6" s="565" t="s">
        <v>131</v>
      </c>
      <c r="AG6" s="435" t="s">
        <v>249</v>
      </c>
      <c r="AH6" s="436">
        <v>1</v>
      </c>
      <c r="AI6" s="454">
        <v>25</v>
      </c>
      <c r="AJ6" s="437">
        <v>19.186667</v>
      </c>
      <c r="AK6" s="437">
        <v>70</v>
      </c>
      <c r="AL6" s="437">
        <v>50.813333</v>
      </c>
      <c r="AM6" s="437">
        <v>35.6</v>
      </c>
      <c r="AN6" s="449">
        <v>1856.2857142857144</v>
      </c>
    </row>
    <row r="7" spans="2:40" ht="13.5" thickTop="1">
      <c r="B7" s="103" t="s">
        <v>9</v>
      </c>
      <c r="C7" s="164">
        <f>'hours and cf'!C6</f>
        <v>5544.496864111498</v>
      </c>
      <c r="D7" s="105">
        <f>'hours and cf'!D6</f>
        <v>0.919436887555068</v>
      </c>
      <c r="E7" s="101">
        <f>($N$7-$M$7)*$D7/1000</f>
        <v>0.05121091265508759</v>
      </c>
      <c r="F7" s="104">
        <f>($N$7-$M$7)*$C7/1000</f>
        <v>308.8180912334942</v>
      </c>
      <c r="G7" s="101">
        <f aca="true" t="shared" si="0" ref="G7:G21">($N$8-$M$8)*$D7/1000</f>
        <v>0.04489745417983282</v>
      </c>
      <c r="H7" s="104">
        <f aca="true" t="shared" si="1" ref="H7:H21">($N$8-$M$8)*$C7/1000</f>
        <v>270.7459285961738</v>
      </c>
      <c r="K7" s="562" t="s">
        <v>144</v>
      </c>
      <c r="L7" s="563" t="s">
        <v>145</v>
      </c>
      <c r="M7" s="564">
        <f>AJ20</f>
        <v>19.965951454545454</v>
      </c>
      <c r="N7" s="564">
        <f>AK20</f>
        <v>75.66407858893281</v>
      </c>
      <c r="O7" s="452"/>
      <c r="P7" s="230"/>
      <c r="Q7" s="230"/>
      <c r="R7" s="230"/>
      <c r="AG7" s="442" t="s">
        <v>250</v>
      </c>
      <c r="AH7" s="443">
        <v>1</v>
      </c>
      <c r="AI7" s="455">
        <v>8</v>
      </c>
      <c r="AJ7" s="444">
        <v>19.25</v>
      </c>
      <c r="AK7" s="444">
        <v>71.25</v>
      </c>
      <c r="AL7" s="444">
        <v>52</v>
      </c>
      <c r="AM7" s="444">
        <v>44.625</v>
      </c>
      <c r="AN7" s="450">
        <v>2326.875</v>
      </c>
    </row>
    <row r="8" spans="2:40" ht="24">
      <c r="B8" s="106" t="s">
        <v>11</v>
      </c>
      <c r="C8" s="164">
        <f>'hours and cf'!C7</f>
        <v>4482.455981416957</v>
      </c>
      <c r="D8" s="107">
        <f>'hours and cf'!D7</f>
        <v>0.8403721922666595</v>
      </c>
      <c r="E8" s="101">
        <f aca="true" t="shared" si="2" ref="E8:E21">($N$7-$M$7)*D8/1000</f>
        <v>0.04680715720507222</v>
      </c>
      <c r="F8" s="104">
        <f aca="true" t="shared" si="3" ref="F8:F21">($N$7-$M$7)*C8/1000</f>
        <v>249.66440312725672</v>
      </c>
      <c r="G8" s="101">
        <f t="shared" si="0"/>
        <v>0.04103660893639988</v>
      </c>
      <c r="H8" s="104">
        <f t="shared" si="1"/>
        <v>218.8849118006828</v>
      </c>
      <c r="K8" s="559" t="s">
        <v>146</v>
      </c>
      <c r="L8" s="561" t="s">
        <v>147</v>
      </c>
      <c r="M8" s="560">
        <f>AK29</f>
        <v>17.504479887416444</v>
      </c>
      <c r="N8" s="560">
        <f>M8*N7/M7</f>
        <v>66.33594922211155</v>
      </c>
      <c r="P8" s="452"/>
      <c r="AG8" s="435" t="s">
        <v>248</v>
      </c>
      <c r="AH8" s="436">
        <v>2</v>
      </c>
      <c r="AI8" s="454">
        <v>60</v>
      </c>
      <c r="AJ8" s="437">
        <v>19.523788</v>
      </c>
      <c r="AK8" s="437">
        <v>74.419669</v>
      </c>
      <c r="AL8" s="437">
        <v>54.895881</v>
      </c>
      <c r="AM8" s="437">
        <v>64.003498</v>
      </c>
      <c r="AN8" s="449">
        <v>3337.325252857143</v>
      </c>
    </row>
    <row r="9" spans="2:40" ht="12.75">
      <c r="B9" s="106" t="s">
        <v>13</v>
      </c>
      <c r="C9" s="164">
        <f>'hours and cf'!C8</f>
        <v>3677.4786171063142</v>
      </c>
      <c r="D9" s="107">
        <f>'hours and cf'!D8</f>
        <v>0.7816105403329625</v>
      </c>
      <c r="E9" s="101">
        <f t="shared" si="2"/>
        <v>0.04353424324504254</v>
      </c>
      <c r="F9" s="104">
        <f t="shared" si="3"/>
        <v>204.8286715495785</v>
      </c>
      <c r="G9" s="101">
        <f t="shared" si="0"/>
        <v>0.038167191131943536</v>
      </c>
      <c r="H9" s="104">
        <f t="shared" si="1"/>
        <v>179.57668432022396</v>
      </c>
      <c r="K9" s="230" t="s">
        <v>285</v>
      </c>
      <c r="L9" s="113"/>
      <c r="M9" s="115"/>
      <c r="N9" s="115"/>
      <c r="AG9" s="442" t="s">
        <v>249</v>
      </c>
      <c r="AH9" s="443">
        <v>2</v>
      </c>
      <c r="AI9" s="455">
        <v>23</v>
      </c>
      <c r="AJ9" s="444">
        <v>20</v>
      </c>
      <c r="AK9" s="444">
        <v>71.052632</v>
      </c>
      <c r="AL9" s="444">
        <v>51.052632</v>
      </c>
      <c r="AM9" s="444">
        <v>49.947368</v>
      </c>
      <c r="AN9" s="450">
        <v>2604.398474285714</v>
      </c>
    </row>
    <row r="10" spans="2:40" ht="12.75">
      <c r="B10" s="106" t="s">
        <v>15</v>
      </c>
      <c r="C10" s="164">
        <f>'hours and cf'!C9</f>
        <v>3355.9109900090825</v>
      </c>
      <c r="D10" s="107">
        <f>'hours and cf'!D9</f>
        <v>0.34947188256217815</v>
      </c>
      <c r="E10" s="101">
        <f t="shared" si="2"/>
        <v>0.019464929344841883</v>
      </c>
      <c r="F10" s="104">
        <f t="shared" si="3"/>
        <v>186.91795697321362</v>
      </c>
      <c r="G10" s="101">
        <f t="shared" si="0"/>
        <v>0.017065225516673173</v>
      </c>
      <c r="H10" s="104">
        <f t="shared" si="1"/>
        <v>163.87406459859483</v>
      </c>
      <c r="AG10" s="435" t="s">
        <v>250</v>
      </c>
      <c r="AH10" s="436">
        <v>5</v>
      </c>
      <c r="AI10" s="454">
        <v>101</v>
      </c>
      <c r="AJ10" s="437">
        <v>20.201757</v>
      </c>
      <c r="AK10" s="437">
        <v>77.462454</v>
      </c>
      <c r="AL10" s="437">
        <v>57.260698</v>
      </c>
      <c r="AM10" s="437">
        <v>61.671605</v>
      </c>
      <c r="AN10" s="449">
        <v>3215.7336892857143</v>
      </c>
    </row>
    <row r="11" spans="2:40" ht="12.75">
      <c r="B11" s="106" t="s">
        <v>17</v>
      </c>
      <c r="C11" s="164">
        <f>'hours and cf'!C10</f>
        <v>3525.559930313588</v>
      </c>
      <c r="D11" s="107">
        <f>'hours and cf'!D10</f>
        <v>0.7656622102276223</v>
      </c>
      <c r="E11" s="101">
        <f t="shared" si="2"/>
        <v>0.042645951127254125</v>
      </c>
      <c r="F11" s="104">
        <f t="shared" si="3"/>
        <v>196.36708521850807</v>
      </c>
      <c r="G11" s="101">
        <f t="shared" si="0"/>
        <v>0.037388410739465014</v>
      </c>
      <c r="H11" s="104">
        <f t="shared" si="1"/>
        <v>172.1582716247378</v>
      </c>
      <c r="AG11" s="442" t="s">
        <v>248</v>
      </c>
      <c r="AH11" s="177" t="s">
        <v>251</v>
      </c>
      <c r="AI11" s="455">
        <v>96</v>
      </c>
      <c r="AJ11" s="444">
        <v>19.917066</v>
      </c>
      <c r="AK11" s="444">
        <v>76.52008</v>
      </c>
      <c r="AL11" s="444">
        <v>56.603014</v>
      </c>
      <c r="AM11" s="444">
        <v>60.564041</v>
      </c>
      <c r="AN11" s="450">
        <v>3157.982137857143</v>
      </c>
    </row>
    <row r="12" spans="2:40" ht="12.75">
      <c r="B12" s="106" t="s">
        <v>18</v>
      </c>
      <c r="C12" s="164">
        <f>'hours and cf'!C11</f>
        <v>2728.677489177489</v>
      </c>
      <c r="D12" s="107">
        <f>'hours and cf'!D11</f>
        <v>0.6662216188257628</v>
      </c>
      <c r="E12" s="101">
        <f t="shared" si="2"/>
        <v>0.03710729642503469</v>
      </c>
      <c r="F12" s="104">
        <f t="shared" si="3"/>
        <v>151.98222570094865</v>
      </c>
      <c r="G12" s="101">
        <f t="shared" si="0"/>
        <v>0.03253258054980117</v>
      </c>
      <c r="H12" s="104">
        <f t="shared" si="1"/>
        <v>133.2453311370434</v>
      </c>
      <c r="AG12" s="435" t="s">
        <v>249</v>
      </c>
      <c r="AH12" s="438" t="s">
        <v>251</v>
      </c>
      <c r="AI12" s="454">
        <v>48</v>
      </c>
      <c r="AJ12" s="437">
        <v>19.637899</v>
      </c>
      <c r="AK12" s="437">
        <v>70.583993</v>
      </c>
      <c r="AL12" s="437">
        <v>50.946094</v>
      </c>
      <c r="AM12" s="437">
        <v>43.559825</v>
      </c>
      <c r="AN12" s="449">
        <v>2271.333732142857</v>
      </c>
    </row>
    <row r="13" spans="2:40" ht="13.5" thickBot="1">
      <c r="B13" s="106" t="s">
        <v>49</v>
      </c>
      <c r="C13" s="164">
        <f>'hours and cf'!C12</f>
        <v>3425.1238805970147</v>
      </c>
      <c r="D13" s="107">
        <f>'hours and cf'!D12</f>
        <v>0.635</v>
      </c>
      <c r="E13" s="101">
        <f t="shared" si="2"/>
        <v>0.03536831073033597</v>
      </c>
      <c r="F13" s="104">
        <f t="shared" si="3"/>
        <v>190.7729853525187</v>
      </c>
      <c r="G13" s="101">
        <f t="shared" si="0"/>
        <v>0.031007983027531397</v>
      </c>
      <c r="H13" s="104">
        <f t="shared" si="1"/>
        <v>167.25383174290502</v>
      </c>
      <c r="AG13" s="445" t="s">
        <v>250</v>
      </c>
      <c r="AH13" s="446" t="s">
        <v>251</v>
      </c>
      <c r="AI13" s="456">
        <v>109</v>
      </c>
      <c r="AJ13" s="447">
        <v>20.15347</v>
      </c>
      <c r="AK13" s="447">
        <v>77.147271</v>
      </c>
      <c r="AL13" s="447">
        <v>56.993801</v>
      </c>
      <c r="AM13" s="447">
        <v>60.787984</v>
      </c>
      <c r="AN13" s="451">
        <v>3169.659165714286</v>
      </c>
    </row>
    <row r="14" spans="2:35" ht="12">
      <c r="B14" s="106" t="s">
        <v>20</v>
      </c>
      <c r="C14" s="164">
        <f>'hours and cf'!C13</f>
        <v>4225.849196263871</v>
      </c>
      <c r="D14" s="107">
        <f>'hours and cf'!D13</f>
        <v>0.8446352773569024</v>
      </c>
      <c r="E14" s="101">
        <f t="shared" si="2"/>
        <v>0.047044603060413276</v>
      </c>
      <c r="F14" s="104">
        <f t="shared" si="3"/>
        <v>235.37188578425372</v>
      </c>
      <c r="G14" s="101">
        <f t="shared" si="0"/>
        <v>0.041244781645255274</v>
      </c>
      <c r="H14" s="104">
        <f t="shared" si="1"/>
        <v>206.35442544040518</v>
      </c>
      <c r="AI14" s="457"/>
    </row>
    <row r="15" spans="2:35" ht="12.75" thickBot="1">
      <c r="B15" s="106" t="s">
        <v>21</v>
      </c>
      <c r="C15" s="164">
        <f>'hours and cf'!C14</f>
        <v>3464.4046762589924</v>
      </c>
      <c r="D15" s="107">
        <f>'hours and cf'!D14</f>
        <v>0.7896801654747687</v>
      </c>
      <c r="E15" s="101">
        <f t="shared" si="2"/>
        <v>0.04398370625211771</v>
      </c>
      <c r="F15" s="104">
        <f t="shared" si="3"/>
        <v>192.96085210323943</v>
      </c>
      <c r="G15" s="101">
        <f t="shared" si="0"/>
        <v>0.03856124278459813</v>
      </c>
      <c r="H15" s="104">
        <f t="shared" si="1"/>
        <v>169.17197071171532</v>
      </c>
      <c r="AI15" s="457"/>
    </row>
    <row r="16" spans="2:40" ht="26.25" thickBot="1">
      <c r="B16" s="106" t="s">
        <v>22</v>
      </c>
      <c r="C16" s="164">
        <f>'hours and cf'!C15</f>
        <v>2301.6893571042683</v>
      </c>
      <c r="D16" s="107">
        <f>'hours and cf'!D15</f>
        <v>0.5244094785754665</v>
      </c>
      <c r="E16" s="101">
        <f t="shared" si="2"/>
        <v>0.029208625808174116</v>
      </c>
      <c r="F16" s="104">
        <f t="shared" si="3"/>
        <v>128.19978643585983</v>
      </c>
      <c r="G16" s="101">
        <f t="shared" si="0"/>
        <v>0.025607685371881343</v>
      </c>
      <c r="H16" s="104">
        <f t="shared" si="1"/>
        <v>112.39487325943118</v>
      </c>
      <c r="AG16" s="458" t="s">
        <v>241</v>
      </c>
      <c r="AH16" s="460" t="s">
        <v>252</v>
      </c>
      <c r="AI16" s="462" t="s">
        <v>242</v>
      </c>
      <c r="AJ16" s="464" t="s">
        <v>243</v>
      </c>
      <c r="AK16" s="464" t="s">
        <v>244</v>
      </c>
      <c r="AL16" s="460" t="s">
        <v>245</v>
      </c>
      <c r="AM16" s="460" t="s">
        <v>253</v>
      </c>
      <c r="AN16" s="466" t="s">
        <v>247</v>
      </c>
    </row>
    <row r="17" spans="2:40" ht="12.75">
      <c r="B17" s="106" t="s">
        <v>23</v>
      </c>
      <c r="C17" s="164">
        <f>'hours and cf'!C16</f>
        <v>3900</v>
      </c>
      <c r="D17" s="107">
        <f>'hours and cf'!D16</f>
        <v>0.68</v>
      </c>
      <c r="E17" s="101">
        <f t="shared" si="2"/>
        <v>0.0378747264513834</v>
      </c>
      <c r="F17" s="104">
        <f t="shared" si="3"/>
        <v>217.22269582411067</v>
      </c>
      <c r="G17" s="101">
        <f t="shared" si="0"/>
        <v>0.03320539914759267</v>
      </c>
      <c r="H17" s="104">
        <f t="shared" si="1"/>
        <v>190.44273040531093</v>
      </c>
      <c r="AG17" s="467">
        <v>1</v>
      </c>
      <c r="AH17" s="468" t="s">
        <v>233</v>
      </c>
      <c r="AI17" s="469">
        <f>SUM(AI5:AI7)</f>
        <v>69</v>
      </c>
      <c r="AJ17" s="470">
        <f>SUMPRODUCT(AJ5:AJ7,$AI5:$AI7)/SUM($AI5:$AI7)</f>
        <v>19.857954826086957</v>
      </c>
      <c r="AK17" s="470">
        <f>SUMPRODUCT(AK5:AK7,$AI5:$AI7)/SUM($AI5:$AI7)</f>
        <v>75.0574416231884</v>
      </c>
      <c r="AL17" s="470">
        <f>SUMPRODUCT(AL5:AL7,$AI5:$AI7)/SUM($AI5:$AI7)</f>
        <v>55.19948679710145</v>
      </c>
      <c r="AM17" s="470">
        <f>SUMPRODUCT(AM5:AM7,$AI5:$AI7)/SUM($AI5:$AI7)</f>
        <v>47.10840724637681</v>
      </c>
      <c r="AN17" s="475">
        <f>AM17*52</f>
        <v>2449.637176811594</v>
      </c>
    </row>
    <row r="18" spans="2:40" ht="12.75">
      <c r="B18" s="106" t="s">
        <v>143</v>
      </c>
      <c r="C18" s="164">
        <f>'hours and cf'!C17</f>
        <v>986</v>
      </c>
      <c r="D18" s="107">
        <f>'hours and cf'!D17</f>
        <v>0.07</v>
      </c>
      <c r="E18" s="101">
        <f t="shared" si="2"/>
        <v>0.0038988688994071154</v>
      </c>
      <c r="F18" s="104">
        <f t="shared" si="3"/>
        <v>54.91835335450593</v>
      </c>
      <c r="G18" s="101">
        <f t="shared" si="0"/>
        <v>0.003418202853428658</v>
      </c>
      <c r="H18" s="104">
        <f t="shared" si="1"/>
        <v>48.147828764009375</v>
      </c>
      <c r="AG18" s="459">
        <v>2</v>
      </c>
      <c r="AH18" s="461" t="s">
        <v>254</v>
      </c>
      <c r="AI18" s="463">
        <f>SUM(AI8:AI9)</f>
        <v>83</v>
      </c>
      <c r="AJ18" s="465">
        <f>SUMPRODUCT(AJ8:AJ9,$AI8:$AI9)/SUM($AI8:$AI9)</f>
        <v>19.655750361445783</v>
      </c>
      <c r="AK18" s="465">
        <f>SUMPRODUCT(AK8:AK9,$AI8:$AI9)/SUM($AI8:$AI9)</f>
        <v>73.48663465060243</v>
      </c>
      <c r="AL18" s="465">
        <f>SUMPRODUCT(AL8:AL9,$AI8:$AI9)/SUM($AI8:$AI9)</f>
        <v>53.83088428915663</v>
      </c>
      <c r="AM18" s="465">
        <f>SUMPRODUCT(AM8:AM9,$AI8:$AI9)/SUM($AI8:$AI9)</f>
        <v>60.1084258313253</v>
      </c>
      <c r="AN18" s="476">
        <f>AM18*52</f>
        <v>3125.6381432289154</v>
      </c>
    </row>
    <row r="19" spans="2:40" ht="13.5" thickBot="1">
      <c r="B19" s="106" t="s">
        <v>24</v>
      </c>
      <c r="C19" s="231">
        <f>'hours and cf'!C18</f>
        <v>4745.3302752293575</v>
      </c>
      <c r="D19" s="107">
        <f>'hours and cf'!D18</f>
        <v>0.7703958262197858</v>
      </c>
      <c r="E19" s="101">
        <f t="shared" si="2"/>
        <v>0.042909604672591015</v>
      </c>
      <c r="F19" s="104">
        <f t="shared" si="3"/>
        <v>264.3060089643821</v>
      </c>
      <c r="G19" s="101">
        <f t="shared" si="0"/>
        <v>0.03761956016362857</v>
      </c>
      <c r="H19" s="104">
        <f t="shared" si="1"/>
        <v>231.72144981786266</v>
      </c>
      <c r="AG19" s="467">
        <v>5</v>
      </c>
      <c r="AH19" s="468" t="s">
        <v>255</v>
      </c>
      <c r="AI19" s="469">
        <f>AI10</f>
        <v>101</v>
      </c>
      <c r="AJ19" s="470">
        <f>AJ10</f>
        <v>20.201757</v>
      </c>
      <c r="AK19" s="470">
        <f>AK10</f>
        <v>77.462454</v>
      </c>
      <c r="AL19" s="470">
        <f>AL10</f>
        <v>57.260698</v>
      </c>
      <c r="AM19" s="470">
        <f>AM10</f>
        <v>61.671605</v>
      </c>
      <c r="AN19" s="475">
        <f>AM19*52</f>
        <v>3206.92346</v>
      </c>
    </row>
    <row r="20" spans="2:40" ht="13.5" thickBot="1">
      <c r="B20" s="106" t="s">
        <v>50</v>
      </c>
      <c r="C20" s="231">
        <f>AN17</f>
        <v>2449.637176811594</v>
      </c>
      <c r="D20" s="107">
        <f>'hours and cf'!D19</f>
        <v>0.6691605279312461</v>
      </c>
      <c r="E20" s="101">
        <f t="shared" si="2"/>
        <v>0.03727098815802831</v>
      </c>
      <c r="F20" s="104">
        <f t="shared" si="3"/>
        <v>136.4402029071739</v>
      </c>
      <c r="G20" s="101">
        <f t="shared" si="0"/>
        <v>0.032676091799663035</v>
      </c>
      <c r="H20" s="104">
        <f t="shared" si="1"/>
        <v>119.61938268060445</v>
      </c>
      <c r="AG20" s="471"/>
      <c r="AH20" s="472" t="s">
        <v>256</v>
      </c>
      <c r="AI20" s="473">
        <f>SUM(AI11:AI13)</f>
        <v>253</v>
      </c>
      <c r="AJ20" s="474">
        <f>SUMPRODUCT(AJ11:AJ13,$AI11:$AI13)/SUM($AI11:$AI13)</f>
        <v>19.965951454545454</v>
      </c>
      <c r="AK20" s="474">
        <f>SUMPRODUCT(AK11:AK13,$AI11:$AI13)/SUM($AI11:$AI13)</f>
        <v>75.66407858893281</v>
      </c>
      <c r="AL20" s="474">
        <f>SUMPRODUCT(AL11:AL13,$AI11:$AI13)/SUM($AI11:$AI13)</f>
        <v>55.69812713438735</v>
      </c>
      <c r="AM20" s="474">
        <f>SUMPRODUCT(AM11:AM13,$AI11:$AI13)/SUM($AI11:$AI13)</f>
        <v>57.43442605533597</v>
      </c>
      <c r="AN20" s="477">
        <f>AM20*52</f>
        <v>2986.5901548774705</v>
      </c>
    </row>
    <row r="21" spans="2:8" ht="12">
      <c r="B21" s="106" t="s">
        <v>25</v>
      </c>
      <c r="C21" s="164">
        <f>'hours and cf'!C20</f>
        <v>3672.394884092725</v>
      </c>
      <c r="D21" s="107">
        <f>'hours and cf'!D20</f>
        <v>0.6662216188257628</v>
      </c>
      <c r="E21" s="101">
        <f t="shared" si="2"/>
        <v>0.03710729642503469</v>
      </c>
      <c r="F21" s="104">
        <f t="shared" si="3"/>
        <v>204.5455171418703</v>
      </c>
      <c r="G21" s="101">
        <f t="shared" si="0"/>
        <v>0.03253258054980117</v>
      </c>
      <c r="H21" s="104">
        <f t="shared" si="1"/>
        <v>179.3284381674651</v>
      </c>
    </row>
    <row r="22" spans="2:37" ht="12">
      <c r="B22" s="230" t="s">
        <v>284</v>
      </c>
      <c r="J22" s="230"/>
      <c r="K22" s="230"/>
      <c r="L22" s="230"/>
      <c r="M22" s="230"/>
      <c r="N22" s="230"/>
      <c r="O22" s="230"/>
      <c r="AH22" s="230"/>
      <c r="AI22" s="230"/>
      <c r="AJ22" s="230"/>
      <c r="AK22" s="230"/>
    </row>
    <row r="23" ht="16.5" thickBot="1">
      <c r="AG23" s="371" t="s">
        <v>290</v>
      </c>
    </row>
    <row r="24" spans="33:37" ht="12.75" thickBot="1">
      <c r="AG24" s="496" t="s">
        <v>257</v>
      </c>
      <c r="AH24" s="497" t="s">
        <v>258</v>
      </c>
      <c r="AI24" s="498" t="s">
        <v>237</v>
      </c>
      <c r="AJ24" s="498" t="s">
        <v>259</v>
      </c>
      <c r="AK24" s="499" t="s">
        <v>260</v>
      </c>
    </row>
    <row r="25" spans="33:37" ht="12">
      <c r="AG25" s="491" t="s">
        <v>155</v>
      </c>
      <c r="AH25" s="492">
        <v>6</v>
      </c>
      <c r="AI25" s="493">
        <v>6</v>
      </c>
      <c r="AJ25" s="494">
        <v>1</v>
      </c>
      <c r="AK25" s="495">
        <v>15</v>
      </c>
    </row>
    <row r="26" spans="13:37" ht="12">
      <c r="M26" s="230"/>
      <c r="N26" s="230"/>
      <c r="O26" s="230"/>
      <c r="P26" s="230"/>
      <c r="Q26" s="230"/>
      <c r="R26" s="230"/>
      <c r="AG26" s="478" t="s">
        <v>261</v>
      </c>
      <c r="AH26" s="481">
        <v>7190</v>
      </c>
      <c r="AI26" s="429">
        <v>26471</v>
      </c>
      <c r="AJ26" s="428">
        <v>0.27</v>
      </c>
      <c r="AK26" s="480">
        <v>18.4</v>
      </c>
    </row>
    <row r="27" spans="33:37" ht="12">
      <c r="AG27" s="478" t="s">
        <v>24</v>
      </c>
      <c r="AH27" s="479">
        <v>162</v>
      </c>
      <c r="AI27" s="427">
        <v>281</v>
      </c>
      <c r="AJ27" s="428">
        <v>0.58</v>
      </c>
      <c r="AK27" s="480">
        <v>14.4</v>
      </c>
    </row>
    <row r="28" spans="33:37" ht="12.75" thickBot="1">
      <c r="AG28" s="482" t="s">
        <v>262</v>
      </c>
      <c r="AH28" s="483">
        <v>6420</v>
      </c>
      <c r="AI28" s="484">
        <v>7350</v>
      </c>
      <c r="AJ28" s="485">
        <v>0.87</v>
      </c>
      <c r="AK28" s="486">
        <v>14.4</v>
      </c>
    </row>
    <row r="29" spans="1:37" ht="12.75" thickBot="1">
      <c r="A29" s="114"/>
      <c r="B29" s="113"/>
      <c r="C29" s="112"/>
      <c r="D29" s="112"/>
      <c r="G29" s="115"/>
      <c r="H29" s="115"/>
      <c r="AG29" s="487" t="s">
        <v>289</v>
      </c>
      <c r="AH29" s="488">
        <v>13778</v>
      </c>
      <c r="AI29" s="489">
        <v>34108</v>
      </c>
      <c r="AJ29" s="490">
        <v>0.4</v>
      </c>
      <c r="AK29" s="500">
        <f>SUMPRODUCT(AK25:AK28,AI25:AI28)/AI29</f>
        <v>17.504479887416444</v>
      </c>
    </row>
    <row r="30" spans="1:33" ht="12">
      <c r="A30" s="114"/>
      <c r="B30" s="113"/>
      <c r="C30" s="112"/>
      <c r="D30" s="112"/>
      <c r="G30" s="115"/>
      <c r="H30" s="115"/>
      <c r="AG30" s="230" t="s">
        <v>263</v>
      </c>
    </row>
    <row r="31" ht="15.75">
      <c r="K31" s="371" t="s">
        <v>287</v>
      </c>
    </row>
    <row r="32" spans="11:29" ht="39" customHeight="1">
      <c r="K32" s="704" t="s">
        <v>180</v>
      </c>
      <c r="L32" s="706" t="s">
        <v>95</v>
      </c>
      <c r="M32" s="701" t="s">
        <v>93</v>
      </c>
      <c r="N32" s="701" t="s">
        <v>131</v>
      </c>
      <c r="O32" s="701" t="s">
        <v>9</v>
      </c>
      <c r="P32" s="701" t="s">
        <v>11</v>
      </c>
      <c r="Q32" s="701" t="s">
        <v>13</v>
      </c>
      <c r="R32" s="701" t="s">
        <v>181</v>
      </c>
      <c r="S32" s="701" t="s">
        <v>17</v>
      </c>
      <c r="T32" s="701" t="s">
        <v>18</v>
      </c>
      <c r="U32" s="701" t="s">
        <v>19</v>
      </c>
      <c r="V32" s="701" t="s">
        <v>20</v>
      </c>
      <c r="W32" s="701" t="s">
        <v>21</v>
      </c>
      <c r="X32" s="701" t="s">
        <v>22</v>
      </c>
      <c r="Y32" s="701" t="s">
        <v>23</v>
      </c>
      <c r="Z32" s="701" t="s">
        <v>24</v>
      </c>
      <c r="AA32" s="701" t="s">
        <v>155</v>
      </c>
      <c r="AB32" s="701" t="s">
        <v>25</v>
      </c>
      <c r="AC32" s="701" t="s">
        <v>142</v>
      </c>
    </row>
    <row r="33" spans="11:29" ht="39" customHeight="1" thickBot="1">
      <c r="K33" s="705"/>
      <c r="L33" s="707"/>
      <c r="M33" s="702"/>
      <c r="N33" s="702"/>
      <c r="O33" s="702"/>
      <c r="P33" s="702"/>
      <c r="Q33" s="702"/>
      <c r="R33" s="702"/>
      <c r="S33" s="702"/>
      <c r="T33" s="702"/>
      <c r="U33" s="702"/>
      <c r="V33" s="702"/>
      <c r="W33" s="702"/>
      <c r="X33" s="702"/>
      <c r="Y33" s="702"/>
      <c r="Z33" s="702"/>
      <c r="AA33" s="702"/>
      <c r="AB33" s="702"/>
      <c r="AC33" s="702"/>
    </row>
    <row r="34" spans="11:29" ht="26.25" thickTop="1">
      <c r="K34" s="570" t="s">
        <v>182</v>
      </c>
      <c r="L34" s="165" t="s">
        <v>183</v>
      </c>
      <c r="M34" s="166">
        <v>65</v>
      </c>
      <c r="N34" s="166">
        <v>200</v>
      </c>
      <c r="O34" s="167">
        <f aca="true" t="shared" si="4" ref="O34:AC36">($N34-$M34)/1000*O$42</f>
        <v>0.12412397981993419</v>
      </c>
      <c r="P34" s="167">
        <f t="shared" si="4"/>
        <v>0.11345024595599904</v>
      </c>
      <c r="Q34" s="167">
        <f t="shared" si="4"/>
        <v>0.10551742294494995</v>
      </c>
      <c r="R34" s="167">
        <f t="shared" si="4"/>
        <v>0.047178704145894056</v>
      </c>
      <c r="S34" s="167">
        <f t="shared" si="4"/>
        <v>0.10336439838072901</v>
      </c>
      <c r="T34" s="167">
        <f t="shared" si="4"/>
        <v>0.08993991854147798</v>
      </c>
      <c r="U34" s="167">
        <f t="shared" si="4"/>
        <v>0.08572500000000001</v>
      </c>
      <c r="V34" s="167">
        <f t="shared" si="4"/>
        <v>0.11402576244318183</v>
      </c>
      <c r="W34" s="167">
        <f t="shared" si="4"/>
        <v>0.10660682233909378</v>
      </c>
      <c r="X34" s="167">
        <f t="shared" si="4"/>
        <v>0.07079527960768799</v>
      </c>
      <c r="Y34" s="167">
        <f t="shared" si="4"/>
        <v>0.0918</v>
      </c>
      <c r="Z34" s="167">
        <f t="shared" si="4"/>
        <v>0.10400343653967108</v>
      </c>
      <c r="AA34" s="167">
        <f t="shared" si="4"/>
        <v>0.09033667127071823</v>
      </c>
      <c r="AB34" s="167">
        <f t="shared" si="4"/>
        <v>0.08993991854147798</v>
      </c>
      <c r="AC34" s="167">
        <f t="shared" si="4"/>
        <v>0.009450000000000002</v>
      </c>
    </row>
    <row r="35" spans="11:35" ht="25.5">
      <c r="K35" s="566" t="s">
        <v>184</v>
      </c>
      <c r="L35" s="567" t="s">
        <v>185</v>
      </c>
      <c r="M35" s="568">
        <v>4</v>
      </c>
      <c r="N35" s="568">
        <v>25</v>
      </c>
      <c r="O35" s="569">
        <f t="shared" si="4"/>
        <v>0.01930817463865643</v>
      </c>
      <c r="P35" s="569">
        <f t="shared" si="4"/>
        <v>0.01764781603759985</v>
      </c>
      <c r="Q35" s="569">
        <f t="shared" si="4"/>
        <v>0.016413821346992215</v>
      </c>
      <c r="R35" s="569">
        <f t="shared" si="4"/>
        <v>0.007338909533805741</v>
      </c>
      <c r="S35" s="569">
        <f t="shared" si="4"/>
        <v>0.01607890641478007</v>
      </c>
      <c r="T35" s="569">
        <f t="shared" si="4"/>
        <v>0.01399065399534102</v>
      </c>
      <c r="U35" s="569">
        <f t="shared" si="4"/>
        <v>0.013335000000000001</v>
      </c>
      <c r="V35" s="569">
        <f t="shared" si="4"/>
        <v>0.017737340824494952</v>
      </c>
      <c r="W35" s="569">
        <f t="shared" si="4"/>
        <v>0.016583283474970144</v>
      </c>
      <c r="X35" s="569">
        <f t="shared" si="4"/>
        <v>0.011012599050084797</v>
      </c>
      <c r="Y35" s="569">
        <f t="shared" si="4"/>
        <v>0.014280000000000003</v>
      </c>
      <c r="Z35" s="569">
        <f t="shared" si="4"/>
        <v>0.016178312350615502</v>
      </c>
      <c r="AA35" s="569">
        <f t="shared" si="4"/>
        <v>0.01405237108655617</v>
      </c>
      <c r="AB35" s="569">
        <f t="shared" si="4"/>
        <v>0.01399065399534102</v>
      </c>
      <c r="AC35" s="569">
        <f t="shared" si="4"/>
        <v>0.0014700000000000002</v>
      </c>
      <c r="AI35" s="452"/>
    </row>
    <row r="36" spans="11:29" ht="25.5">
      <c r="K36" s="566" t="s">
        <v>186</v>
      </c>
      <c r="L36" s="567" t="s">
        <v>187</v>
      </c>
      <c r="M36" s="716">
        <f>M7</f>
        <v>19.965951454545454</v>
      </c>
      <c r="N36" s="716">
        <f>N7</f>
        <v>75.66407858893281</v>
      </c>
      <c r="O36" s="717">
        <f t="shared" si="4"/>
        <v>0.05121091265508759</v>
      </c>
      <c r="P36" s="717">
        <f t="shared" si="4"/>
        <v>0.04680715720507221</v>
      </c>
      <c r="Q36" s="717">
        <f t="shared" si="4"/>
        <v>0.04353424324504254</v>
      </c>
      <c r="R36" s="717">
        <f t="shared" si="4"/>
        <v>0.019464929344841887</v>
      </c>
      <c r="S36" s="717">
        <f t="shared" si="4"/>
        <v>0.042645951127254125</v>
      </c>
      <c r="T36" s="717">
        <f t="shared" si="4"/>
        <v>0.037107296425034686</v>
      </c>
      <c r="U36" s="717">
        <f t="shared" si="4"/>
        <v>0.03536831073033597</v>
      </c>
      <c r="V36" s="717">
        <f t="shared" si="4"/>
        <v>0.047044603060413276</v>
      </c>
      <c r="W36" s="717">
        <f t="shared" si="4"/>
        <v>0.04398370625211771</v>
      </c>
      <c r="X36" s="717">
        <f t="shared" si="4"/>
        <v>0.029208625808174116</v>
      </c>
      <c r="Y36" s="717">
        <f t="shared" si="4"/>
        <v>0.03787472645138341</v>
      </c>
      <c r="Z36" s="717">
        <f t="shared" si="4"/>
        <v>0.042909604672591015</v>
      </c>
      <c r="AA36" s="717">
        <f t="shared" si="4"/>
        <v>0.03727098815802831</v>
      </c>
      <c r="AB36" s="717">
        <f t="shared" si="4"/>
        <v>0.037107296425034686</v>
      </c>
      <c r="AC36" s="717">
        <f t="shared" si="4"/>
        <v>0.0038988688994071154</v>
      </c>
    </row>
    <row r="37" spans="11:29" ht="12.75">
      <c r="K37" s="566" t="s">
        <v>188</v>
      </c>
      <c r="L37" s="567" t="s">
        <v>189</v>
      </c>
      <c r="M37" s="716"/>
      <c r="N37" s="716"/>
      <c r="O37" s="717"/>
      <c r="P37" s="717"/>
      <c r="Q37" s="717"/>
      <c r="R37" s="717"/>
      <c r="S37" s="717"/>
      <c r="T37" s="717"/>
      <c r="U37" s="717"/>
      <c r="V37" s="717"/>
      <c r="W37" s="717"/>
      <c r="X37" s="717"/>
      <c r="Y37" s="717"/>
      <c r="Z37" s="717"/>
      <c r="AA37" s="717"/>
      <c r="AB37" s="717"/>
      <c r="AC37" s="717"/>
    </row>
    <row r="38" spans="11:29" ht="38.25">
      <c r="K38" s="566" t="s">
        <v>190</v>
      </c>
      <c r="L38" s="567" t="s">
        <v>191</v>
      </c>
      <c r="M38" s="716"/>
      <c r="N38" s="716"/>
      <c r="O38" s="717"/>
      <c r="P38" s="717"/>
      <c r="Q38" s="717"/>
      <c r="R38" s="717"/>
      <c r="S38" s="717"/>
      <c r="T38" s="717"/>
      <c r="U38" s="717"/>
      <c r="V38" s="717"/>
      <c r="W38" s="717"/>
      <c r="X38" s="717"/>
      <c r="Y38" s="717"/>
      <c r="Z38" s="717"/>
      <c r="AA38" s="717"/>
      <c r="AB38" s="717"/>
      <c r="AC38" s="717"/>
    </row>
    <row r="39" spans="11:29" ht="38.25">
      <c r="K39" s="566" t="s">
        <v>190</v>
      </c>
      <c r="L39" s="567" t="s">
        <v>192</v>
      </c>
      <c r="M39" s="716"/>
      <c r="N39" s="716"/>
      <c r="O39" s="717"/>
      <c r="P39" s="717"/>
      <c r="Q39" s="717"/>
      <c r="R39" s="717"/>
      <c r="S39" s="717"/>
      <c r="T39" s="717"/>
      <c r="U39" s="717"/>
      <c r="V39" s="717"/>
      <c r="W39" s="717"/>
      <c r="X39" s="717"/>
      <c r="Y39" s="717"/>
      <c r="Z39" s="717"/>
      <c r="AA39" s="717"/>
      <c r="AB39" s="717"/>
      <c r="AC39" s="717"/>
    </row>
    <row r="40" spans="11:29" ht="38.25">
      <c r="K40" s="566" t="s">
        <v>190</v>
      </c>
      <c r="L40" s="567" t="s">
        <v>193</v>
      </c>
      <c r="M40" s="716"/>
      <c r="N40" s="716"/>
      <c r="O40" s="717"/>
      <c r="P40" s="717"/>
      <c r="Q40" s="717"/>
      <c r="R40" s="717"/>
      <c r="S40" s="717"/>
      <c r="T40" s="717"/>
      <c r="U40" s="717"/>
      <c r="V40" s="717"/>
      <c r="W40" s="717"/>
      <c r="X40" s="717"/>
      <c r="Y40" s="717"/>
      <c r="Z40" s="717"/>
      <c r="AA40" s="717"/>
      <c r="AB40" s="717"/>
      <c r="AC40" s="717"/>
    </row>
    <row r="41" spans="11:29" ht="38.25">
      <c r="K41" s="566" t="s">
        <v>190</v>
      </c>
      <c r="L41" s="567" t="s">
        <v>194</v>
      </c>
      <c r="M41" s="716"/>
      <c r="N41" s="716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</row>
    <row r="42" spans="11:29" ht="12.75">
      <c r="K42" s="703" t="s">
        <v>157</v>
      </c>
      <c r="L42" s="703"/>
      <c r="M42" s="703"/>
      <c r="N42" s="703"/>
      <c r="O42" s="571">
        <f>D7</f>
        <v>0.919436887555068</v>
      </c>
      <c r="P42" s="571">
        <f>D8</f>
        <v>0.8403721922666595</v>
      </c>
      <c r="Q42" s="571">
        <f>D9</f>
        <v>0.7816105403329625</v>
      </c>
      <c r="R42" s="571">
        <f>D10</f>
        <v>0.34947188256217815</v>
      </c>
      <c r="S42" s="571">
        <f>D11</f>
        <v>0.7656622102276223</v>
      </c>
      <c r="T42" s="571">
        <f>D12</f>
        <v>0.6662216188257628</v>
      </c>
      <c r="U42" s="571">
        <f>D13</f>
        <v>0.635</v>
      </c>
      <c r="V42" s="571">
        <f>D14</f>
        <v>0.8446352773569024</v>
      </c>
      <c r="W42" s="571">
        <f>D15</f>
        <v>0.7896801654747687</v>
      </c>
      <c r="X42" s="571">
        <f>D16</f>
        <v>0.5244094785754665</v>
      </c>
      <c r="Y42" s="571">
        <f>D17</f>
        <v>0.68</v>
      </c>
      <c r="Z42" s="571">
        <f>D19</f>
        <v>0.7703958262197858</v>
      </c>
      <c r="AA42" s="571">
        <f>D20</f>
        <v>0.6691605279312461</v>
      </c>
      <c r="AB42" s="571">
        <f>D21</f>
        <v>0.6662216188257628</v>
      </c>
      <c r="AC42" s="571">
        <f>D18</f>
        <v>0.07</v>
      </c>
    </row>
    <row r="45" ht="15.75">
      <c r="K45" s="371" t="s">
        <v>288</v>
      </c>
    </row>
    <row r="46" spans="11:29" ht="12">
      <c r="K46" s="704" t="s">
        <v>180</v>
      </c>
      <c r="L46" s="706" t="s">
        <v>95</v>
      </c>
      <c r="M46" s="701" t="s">
        <v>93</v>
      </c>
      <c r="N46" s="701" t="s">
        <v>131</v>
      </c>
      <c r="O46" s="701" t="s">
        <v>9</v>
      </c>
      <c r="P46" s="701" t="s">
        <v>11</v>
      </c>
      <c r="Q46" s="701" t="s">
        <v>13</v>
      </c>
      <c r="R46" s="701" t="s">
        <v>181</v>
      </c>
      <c r="S46" s="701" t="s">
        <v>17</v>
      </c>
      <c r="T46" s="701" t="s">
        <v>18</v>
      </c>
      <c r="U46" s="701" t="s">
        <v>19</v>
      </c>
      <c r="V46" s="701" t="s">
        <v>20</v>
      </c>
      <c r="W46" s="701" t="s">
        <v>21</v>
      </c>
      <c r="X46" s="701" t="s">
        <v>22</v>
      </c>
      <c r="Y46" s="701" t="s">
        <v>23</v>
      </c>
      <c r="Z46" s="701" t="s">
        <v>24</v>
      </c>
      <c r="AA46" s="701" t="s">
        <v>155</v>
      </c>
      <c r="AB46" s="701" t="s">
        <v>25</v>
      </c>
      <c r="AC46" s="701" t="s">
        <v>142</v>
      </c>
    </row>
    <row r="47" spans="11:29" ht="54" customHeight="1" thickBot="1">
      <c r="K47" s="705"/>
      <c r="L47" s="707"/>
      <c r="M47" s="702"/>
      <c r="N47" s="702"/>
      <c r="O47" s="702"/>
      <c r="P47" s="702"/>
      <c r="Q47" s="702"/>
      <c r="R47" s="702"/>
      <c r="S47" s="702"/>
      <c r="T47" s="702"/>
      <c r="U47" s="702"/>
      <c r="V47" s="702"/>
      <c r="W47" s="702"/>
      <c r="X47" s="702"/>
      <c r="Y47" s="702"/>
      <c r="Z47" s="702"/>
      <c r="AA47" s="702"/>
      <c r="AB47" s="702"/>
      <c r="AC47" s="702"/>
    </row>
    <row r="48" spans="11:29" ht="40.5" customHeight="1" thickTop="1">
      <c r="K48" s="577" t="s">
        <v>182</v>
      </c>
      <c r="L48" s="424" t="s">
        <v>183</v>
      </c>
      <c r="M48" s="425">
        <v>65</v>
      </c>
      <c r="N48" s="425">
        <v>200</v>
      </c>
      <c r="O48" s="426">
        <f aca="true" t="shared" si="5" ref="O48:AC50">($N48-$M48)/1000*O$56</f>
        <v>748.5070766550523</v>
      </c>
      <c r="P48" s="426">
        <f t="shared" si="5"/>
        <v>605.1315574912892</v>
      </c>
      <c r="Q48" s="426">
        <f t="shared" si="5"/>
        <v>496.45961330935245</v>
      </c>
      <c r="R48" s="426">
        <f t="shared" si="5"/>
        <v>453.04798365122616</v>
      </c>
      <c r="S48" s="426">
        <f t="shared" si="5"/>
        <v>475.95059059233444</v>
      </c>
      <c r="T48" s="426">
        <f t="shared" si="5"/>
        <v>368.37146103896106</v>
      </c>
      <c r="U48" s="426">
        <f t="shared" si="5"/>
        <v>462.391723880597</v>
      </c>
      <c r="V48" s="426">
        <f t="shared" si="5"/>
        <v>570.4896414956227</v>
      </c>
      <c r="W48" s="426">
        <f t="shared" si="5"/>
        <v>467.694631294964</v>
      </c>
      <c r="X48" s="426">
        <f t="shared" si="5"/>
        <v>310.72806320907625</v>
      </c>
      <c r="Y48" s="426">
        <f t="shared" si="5"/>
        <v>526.5</v>
      </c>
      <c r="Z48" s="426">
        <f t="shared" si="5"/>
        <v>640.6195871559634</v>
      </c>
      <c r="AA48" s="426">
        <f t="shared" si="5"/>
        <v>330.70101886956525</v>
      </c>
      <c r="AB48" s="426">
        <f t="shared" si="5"/>
        <v>495.7733093525179</v>
      </c>
      <c r="AC48" s="426">
        <f t="shared" si="5"/>
        <v>133.11</v>
      </c>
    </row>
    <row r="49" spans="11:29" ht="40.5" customHeight="1">
      <c r="K49" s="572" t="s">
        <v>184</v>
      </c>
      <c r="L49" s="573" t="s">
        <v>185</v>
      </c>
      <c r="M49" s="574">
        <v>4</v>
      </c>
      <c r="N49" s="574">
        <v>25</v>
      </c>
      <c r="O49" s="575">
        <f t="shared" si="5"/>
        <v>116.43443414634147</v>
      </c>
      <c r="P49" s="575">
        <f t="shared" si="5"/>
        <v>94.1315756097561</v>
      </c>
      <c r="Q49" s="575">
        <f t="shared" si="5"/>
        <v>77.2270509592326</v>
      </c>
      <c r="R49" s="575">
        <f t="shared" si="5"/>
        <v>70.47413079019074</v>
      </c>
      <c r="S49" s="575">
        <f t="shared" si="5"/>
        <v>74.03675853658535</v>
      </c>
      <c r="T49" s="575">
        <f t="shared" si="5"/>
        <v>57.30222727272727</v>
      </c>
      <c r="U49" s="575">
        <f t="shared" si="5"/>
        <v>71.9276014925373</v>
      </c>
      <c r="V49" s="575">
        <f t="shared" si="5"/>
        <v>88.7428331215413</v>
      </c>
      <c r="W49" s="575">
        <f t="shared" si="5"/>
        <v>72.75249820143884</v>
      </c>
      <c r="X49" s="575">
        <f t="shared" si="5"/>
        <v>48.33547649918964</v>
      </c>
      <c r="Y49" s="575">
        <f t="shared" si="5"/>
        <v>81.9</v>
      </c>
      <c r="Z49" s="575">
        <f t="shared" si="5"/>
        <v>99.65193577981651</v>
      </c>
      <c r="AA49" s="575">
        <f t="shared" si="5"/>
        <v>51.44238071304348</v>
      </c>
      <c r="AB49" s="575">
        <f t="shared" si="5"/>
        <v>77.12029256594724</v>
      </c>
      <c r="AC49" s="575">
        <f t="shared" si="5"/>
        <v>20.706</v>
      </c>
    </row>
    <row r="50" spans="11:29" ht="25.5">
      <c r="K50" s="572" t="s">
        <v>186</v>
      </c>
      <c r="L50" s="573" t="s">
        <v>187</v>
      </c>
      <c r="M50" s="718">
        <f>M7</f>
        <v>19.965951454545454</v>
      </c>
      <c r="N50" s="718">
        <f>N7</f>
        <v>75.66407858893281</v>
      </c>
      <c r="O50" s="719">
        <f t="shared" si="5"/>
        <v>308.8180912334943</v>
      </c>
      <c r="P50" s="719">
        <f t="shared" si="5"/>
        <v>249.66440312725672</v>
      </c>
      <c r="Q50" s="719">
        <f t="shared" si="5"/>
        <v>204.8286715495785</v>
      </c>
      <c r="R50" s="719">
        <f t="shared" si="5"/>
        <v>186.91795697321362</v>
      </c>
      <c r="S50" s="719">
        <f t="shared" si="5"/>
        <v>196.36708521850807</v>
      </c>
      <c r="T50" s="719">
        <f t="shared" si="5"/>
        <v>151.98222570094865</v>
      </c>
      <c r="U50" s="719">
        <f t="shared" si="5"/>
        <v>190.7729853525187</v>
      </c>
      <c r="V50" s="719">
        <f t="shared" si="5"/>
        <v>235.3718857842537</v>
      </c>
      <c r="W50" s="719">
        <f t="shared" si="5"/>
        <v>192.96085210323943</v>
      </c>
      <c r="X50" s="719">
        <f t="shared" si="5"/>
        <v>128.19978643585983</v>
      </c>
      <c r="Y50" s="719">
        <f t="shared" si="5"/>
        <v>217.22269582411067</v>
      </c>
      <c r="Z50" s="719">
        <f t="shared" si="5"/>
        <v>264.3060089643821</v>
      </c>
      <c r="AA50" s="719">
        <f t="shared" si="5"/>
        <v>136.4402029071739</v>
      </c>
      <c r="AB50" s="719">
        <f t="shared" si="5"/>
        <v>204.5455171418703</v>
      </c>
      <c r="AC50" s="719">
        <f t="shared" si="5"/>
        <v>54.91835335450593</v>
      </c>
    </row>
    <row r="51" spans="11:29" ht="12.75">
      <c r="K51" s="572" t="s">
        <v>188</v>
      </c>
      <c r="L51" s="573" t="s">
        <v>189</v>
      </c>
      <c r="M51" s="718"/>
      <c r="N51" s="718"/>
      <c r="O51" s="719"/>
      <c r="P51" s="719"/>
      <c r="Q51" s="719"/>
      <c r="R51" s="719"/>
      <c r="S51" s="719"/>
      <c r="T51" s="719"/>
      <c r="U51" s="719"/>
      <c r="V51" s="719"/>
      <c r="W51" s="719"/>
      <c r="X51" s="719"/>
      <c r="Y51" s="719"/>
      <c r="Z51" s="719"/>
      <c r="AA51" s="719"/>
      <c r="AB51" s="719"/>
      <c r="AC51" s="719"/>
    </row>
    <row r="52" spans="11:29" ht="38.25">
      <c r="K52" s="572" t="s">
        <v>190</v>
      </c>
      <c r="L52" s="573" t="s">
        <v>191</v>
      </c>
      <c r="M52" s="718"/>
      <c r="N52" s="718"/>
      <c r="O52" s="719"/>
      <c r="P52" s="719"/>
      <c r="Q52" s="719"/>
      <c r="R52" s="719"/>
      <c r="S52" s="719"/>
      <c r="T52" s="719"/>
      <c r="U52" s="719"/>
      <c r="V52" s="719"/>
      <c r="W52" s="719"/>
      <c r="X52" s="719"/>
      <c r="Y52" s="719"/>
      <c r="Z52" s="719"/>
      <c r="AA52" s="719"/>
      <c r="AB52" s="719"/>
      <c r="AC52" s="719"/>
    </row>
    <row r="53" spans="11:29" ht="38.25">
      <c r="K53" s="572" t="s">
        <v>190</v>
      </c>
      <c r="L53" s="573" t="s">
        <v>192</v>
      </c>
      <c r="M53" s="718"/>
      <c r="N53" s="718"/>
      <c r="O53" s="719"/>
      <c r="P53" s="719"/>
      <c r="Q53" s="719"/>
      <c r="R53" s="719"/>
      <c r="S53" s="719"/>
      <c r="T53" s="719"/>
      <c r="U53" s="719"/>
      <c r="V53" s="719"/>
      <c r="W53" s="719"/>
      <c r="X53" s="719"/>
      <c r="Y53" s="719"/>
      <c r="Z53" s="719"/>
      <c r="AA53" s="719"/>
      <c r="AB53" s="719"/>
      <c r="AC53" s="719"/>
    </row>
    <row r="54" spans="11:29" ht="38.25">
      <c r="K54" s="572" t="s">
        <v>190</v>
      </c>
      <c r="L54" s="573" t="s">
        <v>193</v>
      </c>
      <c r="M54" s="718"/>
      <c r="N54" s="718"/>
      <c r="O54" s="719"/>
      <c r="P54" s="719"/>
      <c r="Q54" s="719"/>
      <c r="R54" s="719"/>
      <c r="S54" s="719"/>
      <c r="T54" s="719"/>
      <c r="U54" s="719"/>
      <c r="V54" s="719"/>
      <c r="W54" s="719"/>
      <c r="X54" s="719"/>
      <c r="Y54" s="719"/>
      <c r="Z54" s="719"/>
      <c r="AA54" s="719"/>
      <c r="AB54" s="719"/>
      <c r="AC54" s="719"/>
    </row>
    <row r="55" spans="11:29" ht="38.25">
      <c r="K55" s="572" t="s">
        <v>190</v>
      </c>
      <c r="L55" s="573" t="s">
        <v>194</v>
      </c>
      <c r="M55" s="718"/>
      <c r="N55" s="718"/>
      <c r="O55" s="719"/>
      <c r="P55" s="719"/>
      <c r="Q55" s="719"/>
      <c r="R55" s="719"/>
      <c r="S55" s="719"/>
      <c r="T55" s="719"/>
      <c r="U55" s="719"/>
      <c r="V55" s="719"/>
      <c r="W55" s="719"/>
      <c r="X55" s="719"/>
      <c r="Y55" s="719"/>
      <c r="Z55" s="719"/>
      <c r="AA55" s="719"/>
      <c r="AB55" s="719"/>
      <c r="AC55" s="719"/>
    </row>
    <row r="56" spans="11:29" ht="12.75">
      <c r="K56" s="703" t="s">
        <v>195</v>
      </c>
      <c r="L56" s="703"/>
      <c r="M56" s="703"/>
      <c r="N56" s="703"/>
      <c r="O56" s="576">
        <f>C7</f>
        <v>5544.496864111498</v>
      </c>
      <c r="P56" s="576">
        <f>C8</f>
        <v>4482.455981416957</v>
      </c>
      <c r="Q56" s="576">
        <f>C9</f>
        <v>3677.4786171063142</v>
      </c>
      <c r="R56" s="576">
        <f>C10</f>
        <v>3355.9109900090825</v>
      </c>
      <c r="S56" s="576">
        <f>C11</f>
        <v>3525.559930313588</v>
      </c>
      <c r="T56" s="576">
        <f>C12</f>
        <v>2728.677489177489</v>
      </c>
      <c r="U56" s="576">
        <f>C13</f>
        <v>3425.1238805970147</v>
      </c>
      <c r="V56" s="576">
        <f>C14</f>
        <v>4225.849196263871</v>
      </c>
      <c r="W56" s="576">
        <f>C15</f>
        <v>3464.4046762589924</v>
      </c>
      <c r="X56" s="576">
        <f>C16</f>
        <v>2301.6893571042683</v>
      </c>
      <c r="Y56" s="576">
        <f>C17</f>
        <v>3900</v>
      </c>
      <c r="Z56" s="576">
        <f>C19</f>
        <v>4745.3302752293575</v>
      </c>
      <c r="AA56" s="576">
        <f>C20</f>
        <v>2449.637176811594</v>
      </c>
      <c r="AB56" s="576">
        <f>C21</f>
        <v>3672.394884092725</v>
      </c>
      <c r="AC56" s="576">
        <f>C18</f>
        <v>986</v>
      </c>
    </row>
  </sheetData>
  <mergeCells count="80">
    <mergeCell ref="AC50:AC55"/>
    <mergeCell ref="Y50:Y55"/>
    <mergeCell ref="Z50:Z55"/>
    <mergeCell ref="AA50:AA55"/>
    <mergeCell ref="AB50:AB55"/>
    <mergeCell ref="U50:U55"/>
    <mergeCell ref="V50:V55"/>
    <mergeCell ref="W50:W55"/>
    <mergeCell ref="X50:X55"/>
    <mergeCell ref="Q50:Q55"/>
    <mergeCell ref="R50:R55"/>
    <mergeCell ref="S50:S55"/>
    <mergeCell ref="T50:T55"/>
    <mergeCell ref="M50:M55"/>
    <mergeCell ref="N50:N55"/>
    <mergeCell ref="O50:O55"/>
    <mergeCell ref="P50:P55"/>
    <mergeCell ref="V36:V41"/>
    <mergeCell ref="W36:W41"/>
    <mergeCell ref="X36:X41"/>
    <mergeCell ref="AC36:AC41"/>
    <mergeCell ref="Y36:Y41"/>
    <mergeCell ref="Z36:Z41"/>
    <mergeCell ref="AA36:AA41"/>
    <mergeCell ref="AB36:AB41"/>
    <mergeCell ref="R36:R41"/>
    <mergeCell ref="S36:S41"/>
    <mergeCell ref="T36:T41"/>
    <mergeCell ref="U36:U41"/>
    <mergeCell ref="N36:N41"/>
    <mergeCell ref="O36:O41"/>
    <mergeCell ref="P36:P41"/>
    <mergeCell ref="Q36:Q41"/>
    <mergeCell ref="K56:N56"/>
    <mergeCell ref="E5:F5"/>
    <mergeCell ref="G5:H5"/>
    <mergeCell ref="E4:H4"/>
    <mergeCell ref="L46:L47"/>
    <mergeCell ref="M46:M47"/>
    <mergeCell ref="N46:N47"/>
    <mergeCell ref="M32:M33"/>
    <mergeCell ref="N32:N33"/>
    <mergeCell ref="M36:M41"/>
    <mergeCell ref="AB46:AB47"/>
    <mergeCell ref="AC46:AC47"/>
    <mergeCell ref="B4:B6"/>
    <mergeCell ref="C4:C6"/>
    <mergeCell ref="D4:D6"/>
    <mergeCell ref="X46:X47"/>
    <mergeCell ref="Y46:Y47"/>
    <mergeCell ref="Z46:Z47"/>
    <mergeCell ref="AA46:AA47"/>
    <mergeCell ref="T46:T47"/>
    <mergeCell ref="U46:U47"/>
    <mergeCell ref="V46:V47"/>
    <mergeCell ref="W46:W47"/>
    <mergeCell ref="P46:P47"/>
    <mergeCell ref="Q46:Q47"/>
    <mergeCell ref="R46:R47"/>
    <mergeCell ref="S46:S47"/>
    <mergeCell ref="O46:O47"/>
    <mergeCell ref="K42:N42"/>
    <mergeCell ref="K46:K47"/>
    <mergeCell ref="AA32:AA33"/>
    <mergeCell ref="O32:O33"/>
    <mergeCell ref="P32:P33"/>
    <mergeCell ref="Q32:Q33"/>
    <mergeCell ref="R32:R33"/>
    <mergeCell ref="K32:K33"/>
    <mergeCell ref="L32:L33"/>
    <mergeCell ref="AC32:AC33"/>
    <mergeCell ref="W32:W33"/>
    <mergeCell ref="X32:X33"/>
    <mergeCell ref="S32:S33"/>
    <mergeCell ref="T32:T33"/>
    <mergeCell ref="U32:U33"/>
    <mergeCell ref="V32:V33"/>
    <mergeCell ref="AB32:AB33"/>
    <mergeCell ref="Y32:Y33"/>
    <mergeCell ref="Z32:Z33"/>
  </mergeCells>
  <conditionalFormatting sqref="K48:L55 M48:AC50 K34:L41 M34:AC36">
    <cfRule type="expression" priority="1" dxfId="0" stopIfTrue="1">
      <formula>MOD(ROW(),2)=1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29"/>
  <sheetViews>
    <sheetView workbookViewId="0" topLeftCell="A1">
      <selection activeCell="G31" sqref="G31"/>
    </sheetView>
  </sheetViews>
  <sheetFormatPr defaultColWidth="9.140625" defaultRowHeight="12.75"/>
  <cols>
    <col min="1" max="1" width="9.140625" style="230" customWidth="1"/>
    <col min="2" max="2" width="16.00390625" style="230" customWidth="1"/>
    <col min="3" max="6" width="9.140625" style="230" customWidth="1"/>
    <col min="7" max="7" width="21.7109375" style="230" customWidth="1"/>
    <col min="8" max="10" width="9.140625" style="230" customWidth="1"/>
    <col min="11" max="11" width="21.7109375" style="230" customWidth="1"/>
    <col min="12" max="12" width="9.140625" style="230" customWidth="1"/>
    <col min="13" max="13" width="10.7109375" style="230" customWidth="1"/>
    <col min="14" max="14" width="9.140625" style="230" customWidth="1"/>
    <col min="15" max="15" width="16.421875" style="230" customWidth="1"/>
    <col min="16" max="16" width="10.421875" style="230" customWidth="1"/>
    <col min="17" max="17" width="9.7109375" style="230" customWidth="1"/>
    <col min="18" max="18" width="9.28125" style="230" customWidth="1"/>
    <col min="19" max="19" width="11.140625" style="230" customWidth="1"/>
    <col min="20" max="20" width="10.28125" style="230" customWidth="1"/>
    <col min="21" max="21" width="9.140625" style="230" customWidth="1"/>
    <col min="22" max="22" width="10.421875" style="230" customWidth="1"/>
    <col min="23" max="23" width="13.7109375" style="230" customWidth="1"/>
    <col min="24" max="24" width="13.421875" style="230" customWidth="1"/>
    <col min="25" max="25" width="8.421875" style="230" customWidth="1"/>
    <col min="26" max="26" width="9.140625" style="230" customWidth="1"/>
    <col min="27" max="27" width="11.57421875" style="230" customWidth="1"/>
    <col min="28" max="28" width="13.57421875" style="230" customWidth="1"/>
    <col min="29" max="30" width="9.140625" style="230" customWidth="1"/>
    <col min="31" max="31" width="10.28125" style="230" customWidth="1"/>
    <col min="32" max="32" width="13.8515625" style="230" bestFit="1" customWidth="1"/>
    <col min="33" max="33" width="10.421875" style="230" customWidth="1"/>
    <col min="34" max="34" width="4.57421875" style="230" bestFit="1" customWidth="1"/>
    <col min="35" max="35" width="5.28125" style="230" bestFit="1" customWidth="1"/>
    <col min="36" max="16384" width="9.140625" style="230" customWidth="1"/>
  </cols>
  <sheetData>
    <row r="2" ht="16.5" thickBot="1">
      <c r="B2" s="116" t="s">
        <v>291</v>
      </c>
    </row>
    <row r="3" spans="2:5" ht="12">
      <c r="B3" s="726" t="s">
        <v>257</v>
      </c>
      <c r="C3" s="728" t="s">
        <v>47</v>
      </c>
      <c r="D3" s="730" t="s">
        <v>48</v>
      </c>
      <c r="E3" s="252"/>
    </row>
    <row r="4" spans="2:5" ht="12.75" thickBot="1">
      <c r="B4" s="727"/>
      <c r="C4" s="729"/>
      <c r="D4" s="731"/>
      <c r="E4" s="252"/>
    </row>
    <row r="5" spans="2:5" ht="12">
      <c r="B5" s="298" t="s">
        <v>155</v>
      </c>
      <c r="C5" s="543">
        <f>C28</f>
        <v>4698.114640883978</v>
      </c>
      <c r="D5" s="537">
        <f>D28</f>
        <v>0.6691605279312461</v>
      </c>
      <c r="E5" s="252"/>
    </row>
    <row r="6" spans="2:5" ht="12">
      <c r="B6" s="234" t="s">
        <v>261</v>
      </c>
      <c r="C6" s="235">
        <f>I24</f>
        <v>3729.6935374847126</v>
      </c>
      <c r="D6" s="236">
        <f>M23</f>
        <v>0.7657736643830362</v>
      </c>
      <c r="E6" s="252"/>
    </row>
    <row r="7" spans="2:5" ht="12">
      <c r="B7" s="298" t="s">
        <v>24</v>
      </c>
      <c r="C7" s="543">
        <f>C27</f>
        <v>4745.3302752293575</v>
      </c>
      <c r="D7" s="537">
        <f>D27</f>
        <v>0.7703958262197858</v>
      </c>
      <c r="E7" s="252"/>
    </row>
    <row r="8" spans="2:5" ht="12.75" thickBot="1">
      <c r="B8" s="237" t="s">
        <v>272</v>
      </c>
      <c r="C8" s="238">
        <f>Q18</f>
        <v>3238.4869525296617</v>
      </c>
      <c r="D8" s="239">
        <f>R18</f>
        <v>0.6436897206395211</v>
      </c>
      <c r="E8" s="252"/>
    </row>
    <row r="12" spans="2:15" ht="12.75" thickBot="1">
      <c r="B12" s="230" t="s">
        <v>269</v>
      </c>
      <c r="G12" s="230" t="s">
        <v>266</v>
      </c>
      <c r="K12" s="230" t="s">
        <v>268</v>
      </c>
      <c r="O12" s="230" t="s">
        <v>271</v>
      </c>
    </row>
    <row r="13" spans="2:4" ht="12.75" thickBot="1">
      <c r="B13" s="720" t="s">
        <v>1</v>
      </c>
      <c r="C13" s="722" t="s">
        <v>47</v>
      </c>
      <c r="D13" s="724" t="s">
        <v>48</v>
      </c>
    </row>
    <row r="14" spans="2:18" ht="24.75" thickBot="1">
      <c r="B14" s="721"/>
      <c r="C14" s="723"/>
      <c r="D14" s="725"/>
      <c r="G14" s="534" t="s">
        <v>1</v>
      </c>
      <c r="H14" s="530" t="s">
        <v>264</v>
      </c>
      <c r="I14" s="243" t="s">
        <v>265</v>
      </c>
      <c r="K14" s="534" t="s">
        <v>1</v>
      </c>
      <c r="L14" s="530" t="s">
        <v>16</v>
      </c>
      <c r="M14" s="243" t="s">
        <v>267</v>
      </c>
      <c r="O14" s="534" t="s">
        <v>1</v>
      </c>
      <c r="P14" s="530" t="s">
        <v>264</v>
      </c>
      <c r="Q14" s="242" t="s">
        <v>265</v>
      </c>
      <c r="R14" s="243" t="s">
        <v>270</v>
      </c>
    </row>
    <row r="15" spans="2:18" ht="12">
      <c r="B15" s="253" t="s">
        <v>9</v>
      </c>
      <c r="C15" s="254">
        <f>'hours and cf'!C6</f>
        <v>5544.496864111498</v>
      </c>
      <c r="D15" s="255">
        <f>'hours and cf'!D6</f>
        <v>0.919436887555068</v>
      </c>
      <c r="G15" s="535" t="s">
        <v>9</v>
      </c>
      <c r="H15" s="531">
        <v>0.036</v>
      </c>
      <c r="I15" s="528">
        <f aca="true" t="shared" si="0" ref="I15:I23">C15</f>
        <v>5544.496864111498</v>
      </c>
      <c r="K15" s="535" t="s">
        <v>9</v>
      </c>
      <c r="L15" s="531">
        <v>0.039</v>
      </c>
      <c r="M15" s="537">
        <f>D15</f>
        <v>0.919436887555068</v>
      </c>
      <c r="O15" s="535" t="s">
        <v>17</v>
      </c>
      <c r="P15" s="541">
        <v>0.23</v>
      </c>
      <c r="Q15" s="539">
        <f>C19</f>
        <v>3525.559930313588</v>
      </c>
      <c r="R15" s="537">
        <f>D19</f>
        <v>0.7656622102276223</v>
      </c>
    </row>
    <row r="16" spans="2:18" ht="12">
      <c r="B16" s="256" t="s">
        <v>11</v>
      </c>
      <c r="C16" s="257">
        <f>'hours and cf'!C7</f>
        <v>4482.455981416957</v>
      </c>
      <c r="D16" s="258">
        <f>'hours and cf'!D7</f>
        <v>0.8403721922666595</v>
      </c>
      <c r="G16" s="232" t="s">
        <v>11</v>
      </c>
      <c r="H16" s="532">
        <v>0.036</v>
      </c>
      <c r="I16" s="240">
        <f t="shared" si="0"/>
        <v>4482.455981416957</v>
      </c>
      <c r="K16" s="232" t="s">
        <v>11</v>
      </c>
      <c r="L16" s="532">
        <v>0.039</v>
      </c>
      <c r="M16" s="236">
        <f>D16</f>
        <v>0.8403721922666595</v>
      </c>
      <c r="O16" s="232" t="s">
        <v>22</v>
      </c>
      <c r="P16" s="542">
        <v>0.36</v>
      </c>
      <c r="Q16" s="241">
        <f>C24</f>
        <v>2301.6893571042683</v>
      </c>
      <c r="R16" s="236">
        <f>D24</f>
        <v>0.5244094785754665</v>
      </c>
    </row>
    <row r="17" spans="2:18" ht="12.75" thickBot="1">
      <c r="B17" s="256" t="s">
        <v>13</v>
      </c>
      <c r="C17" s="257">
        <f>'hours and cf'!C8</f>
        <v>3677.4786171063142</v>
      </c>
      <c r="D17" s="258">
        <f>'hours and cf'!D8</f>
        <v>0.7816105403329625</v>
      </c>
      <c r="G17" s="535" t="s">
        <v>13</v>
      </c>
      <c r="H17" s="531">
        <v>0.085</v>
      </c>
      <c r="I17" s="528">
        <f t="shared" si="0"/>
        <v>3677.4786171063142</v>
      </c>
      <c r="K17" s="535" t="s">
        <v>13</v>
      </c>
      <c r="L17" s="531">
        <v>0.092</v>
      </c>
      <c r="M17" s="537">
        <f>D17</f>
        <v>0.7816105403329625</v>
      </c>
      <c r="O17" s="535" t="s">
        <v>23</v>
      </c>
      <c r="P17" s="541">
        <v>0.41</v>
      </c>
      <c r="Q17" s="539">
        <f>C25</f>
        <v>3900</v>
      </c>
      <c r="R17" s="537">
        <f>D25</f>
        <v>0.68</v>
      </c>
    </row>
    <row r="18" spans="2:18" ht="12.75" thickBot="1">
      <c r="B18" s="256" t="s">
        <v>15</v>
      </c>
      <c r="C18" s="257">
        <f>'hours and cf'!C9</f>
        <v>3355.9109900090825</v>
      </c>
      <c r="D18" s="258">
        <f>'hours and cf'!D9</f>
        <v>0.34947188256217815</v>
      </c>
      <c r="G18" s="232" t="s">
        <v>15</v>
      </c>
      <c r="H18" s="532">
        <v>0.06</v>
      </c>
      <c r="I18" s="240">
        <f t="shared" si="0"/>
        <v>3355.9109900090825</v>
      </c>
      <c r="K18" s="232" t="s">
        <v>15</v>
      </c>
      <c r="L18" s="532">
        <v>0.065</v>
      </c>
      <c r="M18" s="236">
        <f>D18</f>
        <v>0.34947188256217815</v>
      </c>
      <c r="O18" s="536" t="s">
        <v>74</v>
      </c>
      <c r="P18" s="533">
        <v>1</v>
      </c>
      <c r="Q18" s="540">
        <f>SUMPRODUCT(P15:P17,Q15:Q17)</f>
        <v>3238.4869525296617</v>
      </c>
      <c r="R18" s="538">
        <f>SUMPRODUCT(P15:P17,R15:R17)</f>
        <v>0.6436897206395211</v>
      </c>
    </row>
    <row r="19" spans="2:15" ht="12">
      <c r="B19" s="256" t="s">
        <v>17</v>
      </c>
      <c r="C19" s="257">
        <f>'hours and cf'!C10</f>
        <v>3525.559930313588</v>
      </c>
      <c r="D19" s="258">
        <f>'hours and cf'!D10</f>
        <v>0.7656622102276223</v>
      </c>
      <c r="G19" s="535" t="s">
        <v>17</v>
      </c>
      <c r="H19" s="531">
        <v>0.253</v>
      </c>
      <c r="I19" s="528">
        <f t="shared" si="0"/>
        <v>3525.559930313588</v>
      </c>
      <c r="K19" s="535" t="s">
        <v>17</v>
      </c>
      <c r="L19" s="531">
        <v>0.273</v>
      </c>
      <c r="M19" s="537">
        <f>D19</f>
        <v>0.7656622102276223</v>
      </c>
      <c r="O19" s="233" t="s">
        <v>293</v>
      </c>
    </row>
    <row r="20" spans="2:13" ht="12">
      <c r="B20" s="256" t="s">
        <v>18</v>
      </c>
      <c r="C20" s="259">
        <f>'hours and cf'!C11</f>
        <v>2728.677489177489</v>
      </c>
      <c r="D20" s="258">
        <f>'hours and cf'!D11</f>
        <v>0.6662216188257628</v>
      </c>
      <c r="G20" s="232" t="s">
        <v>18</v>
      </c>
      <c r="H20" s="532">
        <v>0.073</v>
      </c>
      <c r="I20" s="240">
        <f t="shared" si="0"/>
        <v>2728.677489177489</v>
      </c>
      <c r="K20" s="232" t="s">
        <v>19</v>
      </c>
      <c r="L20" s="532">
        <v>0.065</v>
      </c>
      <c r="M20" s="236">
        <f>D21</f>
        <v>0.635</v>
      </c>
    </row>
    <row r="21" spans="2:13" ht="12">
      <c r="B21" s="256" t="s">
        <v>49</v>
      </c>
      <c r="C21" s="259">
        <f>'hours and cf'!C12</f>
        <v>3425.1238805970147</v>
      </c>
      <c r="D21" s="258">
        <f>'hours and cf'!D12</f>
        <v>0.635</v>
      </c>
      <c r="G21" s="535" t="s">
        <v>19</v>
      </c>
      <c r="H21" s="531">
        <v>0.06</v>
      </c>
      <c r="I21" s="528">
        <f t="shared" si="0"/>
        <v>3425.1238805970147</v>
      </c>
      <c r="K21" s="535" t="s">
        <v>20</v>
      </c>
      <c r="L21" s="531">
        <v>0.259</v>
      </c>
      <c r="M21" s="537">
        <f>D22</f>
        <v>0.8446352773569024</v>
      </c>
    </row>
    <row r="22" spans="2:13" ht="12.75" thickBot="1">
      <c r="B22" s="256" t="s">
        <v>20</v>
      </c>
      <c r="C22" s="257">
        <f>'hours and cf'!C13</f>
        <v>4225.849196263871</v>
      </c>
      <c r="D22" s="258">
        <f>'hours and cf'!D13</f>
        <v>0.8446352773569024</v>
      </c>
      <c r="G22" s="232" t="s">
        <v>20</v>
      </c>
      <c r="H22" s="532">
        <v>0.24</v>
      </c>
      <c r="I22" s="240">
        <f t="shared" si="0"/>
        <v>4225.849196263871</v>
      </c>
      <c r="K22" s="232" t="s">
        <v>21</v>
      </c>
      <c r="L22" s="532">
        <v>0.169</v>
      </c>
      <c r="M22" s="236">
        <f>D23</f>
        <v>0.7896801654747687</v>
      </c>
    </row>
    <row r="23" spans="2:13" ht="12.75" thickBot="1">
      <c r="B23" s="256" t="s">
        <v>21</v>
      </c>
      <c r="C23" s="257">
        <f>'hours and cf'!C14</f>
        <v>3464.4046762589924</v>
      </c>
      <c r="D23" s="258">
        <f>'hours and cf'!D14</f>
        <v>0.7896801654747687</v>
      </c>
      <c r="G23" s="535" t="s">
        <v>21</v>
      </c>
      <c r="H23" s="531">
        <v>0.157</v>
      </c>
      <c r="I23" s="528">
        <f t="shared" si="0"/>
        <v>3464.4046762589924</v>
      </c>
      <c r="K23" s="536" t="s">
        <v>74</v>
      </c>
      <c r="L23" s="533">
        <v>1</v>
      </c>
      <c r="M23" s="538">
        <f>SUMPRODUCT(L15:L22,M15:M22)</f>
        <v>0.7657736643830362</v>
      </c>
    </row>
    <row r="24" spans="2:11" ht="12.75" thickBot="1">
      <c r="B24" s="256" t="s">
        <v>22</v>
      </c>
      <c r="C24" s="257">
        <f>'hours and cf'!C15</f>
        <v>2301.6893571042683</v>
      </c>
      <c r="D24" s="258">
        <f>'hours and cf'!D15</f>
        <v>0.5244094785754665</v>
      </c>
      <c r="G24" s="536" t="s">
        <v>74</v>
      </c>
      <c r="H24" s="533">
        <v>1</v>
      </c>
      <c r="I24" s="529">
        <f>SUMPRODUCT(H15:H23,I15:I23)</f>
        <v>3729.6935374847126</v>
      </c>
      <c r="K24" s="527" t="s">
        <v>292</v>
      </c>
    </row>
    <row r="25" spans="2:7" ht="12">
      <c r="B25" s="256" t="s">
        <v>23</v>
      </c>
      <c r="C25" s="259">
        <f>'hours and cf'!C16</f>
        <v>3900</v>
      </c>
      <c r="D25" s="258">
        <f>'hours and cf'!D16</f>
        <v>0.68</v>
      </c>
      <c r="G25" s="527" t="s">
        <v>292</v>
      </c>
    </row>
    <row r="26" spans="2:4" ht="12">
      <c r="B26" s="256" t="s">
        <v>143</v>
      </c>
      <c r="C26" s="259">
        <f>'hours and cf'!C17</f>
        <v>986</v>
      </c>
      <c r="D26" s="258">
        <f>'hours and cf'!D17</f>
        <v>0.07</v>
      </c>
    </row>
    <row r="27" spans="2:4" ht="12">
      <c r="B27" s="256" t="s">
        <v>24</v>
      </c>
      <c r="C27" s="257">
        <f>'hours and cf'!C18</f>
        <v>4745.3302752293575</v>
      </c>
      <c r="D27" s="258">
        <f>'hours and cf'!D18</f>
        <v>0.7703958262197858</v>
      </c>
    </row>
    <row r="28" spans="2:4" ht="12">
      <c r="B28" s="256" t="s">
        <v>50</v>
      </c>
      <c r="C28" s="260">
        <f>'hours and cf'!C19</f>
        <v>4698.114640883978</v>
      </c>
      <c r="D28" s="258">
        <f>'hours and cf'!D19</f>
        <v>0.6691605279312461</v>
      </c>
    </row>
    <row r="29" spans="2:4" ht="12.75" thickBot="1">
      <c r="B29" s="261" t="s">
        <v>25</v>
      </c>
      <c r="C29" s="262">
        <f>'hours and cf'!C20</f>
        <v>3672.394884092725</v>
      </c>
      <c r="D29" s="263">
        <f>'hours and cf'!D20</f>
        <v>0.6662216188257628</v>
      </c>
    </row>
  </sheetData>
  <mergeCells count="6">
    <mergeCell ref="B13:B14"/>
    <mergeCell ref="C13:C14"/>
    <mergeCell ref="D13:D14"/>
    <mergeCell ref="B3:B4"/>
    <mergeCell ref="C3:C4"/>
    <mergeCell ref="D3:D4"/>
  </mergeCells>
  <conditionalFormatting sqref="B15:D29">
    <cfRule type="expression" priority="1" dxfId="0" stopIfTrue="1">
      <formula>MOD(ROW(),2)=1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35"/>
  <sheetViews>
    <sheetView workbookViewId="0" topLeftCell="A1">
      <selection activeCell="J44" sqref="J44"/>
    </sheetView>
  </sheetViews>
  <sheetFormatPr defaultColWidth="9.140625" defaultRowHeight="12.75"/>
  <cols>
    <col min="1" max="1" width="9.140625" style="72" customWidth="1"/>
    <col min="2" max="2" width="17.00390625" style="72" customWidth="1"/>
    <col min="3" max="3" width="7.7109375" style="72" customWidth="1"/>
    <col min="4" max="4" width="6.28125" style="72" customWidth="1"/>
    <col min="5" max="5" width="6.7109375" style="72" customWidth="1"/>
    <col min="6" max="6" width="5.421875" style="72" customWidth="1"/>
    <col min="7" max="7" width="7.421875" style="72" customWidth="1"/>
    <col min="8" max="8" width="5.8515625" style="72" customWidth="1"/>
    <col min="9" max="11" width="9.140625" style="72" customWidth="1"/>
    <col min="12" max="12" width="42.00390625" style="72" customWidth="1"/>
    <col min="13" max="13" width="15.421875" style="72" customWidth="1"/>
    <col min="14" max="14" width="10.28125" style="72" bestFit="1" customWidth="1"/>
    <col min="15" max="15" width="12.57421875" style="72" customWidth="1"/>
    <col min="16" max="16" width="11.140625" style="72" bestFit="1" customWidth="1"/>
    <col min="17" max="18" width="9.140625" style="72" customWidth="1"/>
    <col min="19" max="19" width="10.7109375" style="72" customWidth="1"/>
    <col min="20" max="20" width="10.140625" style="72" customWidth="1"/>
    <col min="21" max="21" width="11.57421875" style="72" customWidth="1"/>
    <col min="22" max="22" width="15.57421875" style="72" customWidth="1"/>
    <col min="23" max="16384" width="9.140625" style="72" customWidth="1"/>
  </cols>
  <sheetData>
    <row r="2" spans="1:4" ht="12" thickBot="1">
      <c r="A2" s="544"/>
      <c r="B2" s="544"/>
      <c r="C2" s="544"/>
      <c r="D2" s="544"/>
    </row>
    <row r="3" spans="2:16" ht="16.5" thickBot="1">
      <c r="B3" s="116" t="s">
        <v>294</v>
      </c>
      <c r="K3" s="248" t="s">
        <v>94</v>
      </c>
      <c r="L3" s="249" t="s">
        <v>95</v>
      </c>
      <c r="M3" s="250" t="s">
        <v>92</v>
      </c>
      <c r="N3" s="250" t="s">
        <v>93</v>
      </c>
      <c r="O3" s="251" t="s">
        <v>151</v>
      </c>
      <c r="P3" s="136"/>
    </row>
    <row r="4" spans="2:23" ht="12.75">
      <c r="B4" s="732" t="s">
        <v>257</v>
      </c>
      <c r="C4" s="732" t="s">
        <v>47</v>
      </c>
      <c r="D4" s="732" t="s">
        <v>48</v>
      </c>
      <c r="E4" s="735" t="s">
        <v>91</v>
      </c>
      <c r="F4" s="735"/>
      <c r="G4" s="735"/>
      <c r="H4" s="735"/>
      <c r="K4" s="372" t="s">
        <v>84</v>
      </c>
      <c r="L4" s="373" t="s">
        <v>96</v>
      </c>
      <c r="M4" s="374">
        <f>P19</f>
        <v>123</v>
      </c>
      <c r="N4" s="82">
        <f>V15</f>
        <v>99.68856326771818</v>
      </c>
      <c r="O4" s="375">
        <f>+M4-N4</f>
        <v>23.31143673228182</v>
      </c>
      <c r="P4" s="137"/>
      <c r="Q4"/>
      <c r="R4"/>
      <c r="S4" t="s">
        <v>88</v>
      </c>
      <c r="T4"/>
      <c r="U4"/>
      <c r="V4"/>
      <c r="W4"/>
    </row>
    <row r="5" spans="2:24" ht="14.25" customHeight="1" thickBot="1">
      <c r="B5" s="733"/>
      <c r="C5" s="733"/>
      <c r="D5" s="733"/>
      <c r="E5" s="736" t="s">
        <v>84</v>
      </c>
      <c r="F5" s="736"/>
      <c r="G5" s="736" t="s">
        <v>86</v>
      </c>
      <c r="H5" s="736"/>
      <c r="K5" s="244" t="s">
        <v>86</v>
      </c>
      <c r="L5" s="245" t="s">
        <v>97</v>
      </c>
      <c r="M5" s="246">
        <f>P20</f>
        <v>226.02999999999997</v>
      </c>
      <c r="N5" s="246">
        <f>V16</f>
        <v>106.88838152883467</v>
      </c>
      <c r="O5" s="247">
        <f>+M5-N5</f>
        <v>119.1416184711653</v>
      </c>
      <c r="P5" s="137"/>
      <c r="Q5"/>
      <c r="R5"/>
      <c r="S5" s="108" t="s">
        <v>75</v>
      </c>
      <c r="T5" s="108"/>
      <c r="U5" s="108"/>
      <c r="V5" s="108"/>
      <c r="W5" s="108"/>
      <c r="X5" s="109"/>
    </row>
    <row r="6" spans="2:23" ht="13.5" customHeight="1" thickBot="1">
      <c r="B6" s="734"/>
      <c r="C6" s="734"/>
      <c r="D6" s="734"/>
      <c r="E6" s="588" t="s">
        <v>89</v>
      </c>
      <c r="F6" s="588" t="s">
        <v>90</v>
      </c>
      <c r="G6" s="588" t="s">
        <v>89</v>
      </c>
      <c r="H6" s="588" t="s">
        <v>90</v>
      </c>
      <c r="K6" s="368"/>
      <c r="L6" s="369"/>
      <c r="M6" s="92"/>
      <c r="N6" s="92"/>
      <c r="O6" s="370"/>
      <c r="P6" s="137"/>
      <c r="Q6"/>
      <c r="R6"/>
      <c r="S6" s="641" t="s">
        <v>56</v>
      </c>
      <c r="T6" s="636" t="s">
        <v>77</v>
      </c>
      <c r="U6" s="636" t="s">
        <v>78</v>
      </c>
      <c r="V6" s="632" t="s">
        <v>79</v>
      </c>
      <c r="W6" s="26"/>
    </row>
    <row r="7" spans="2:23" ht="19.5" thickBot="1" thickTop="1">
      <c r="B7" s="583" t="s">
        <v>155</v>
      </c>
      <c r="C7" s="584">
        <f>'Alt hrs and cf'!C5</f>
        <v>4698.114640883978</v>
      </c>
      <c r="D7" s="585">
        <f>'Alt hrs and cf'!D5</f>
        <v>0.6691605279312461</v>
      </c>
      <c r="E7" s="586">
        <f>$O$4*D7/1000</f>
        <v>0.015599093310609545</v>
      </c>
      <c r="F7" s="587">
        <f>$O$4*C7/1000</f>
        <v>109.51980221197377</v>
      </c>
      <c r="G7" s="586">
        <f>$O$5*D7/1000</f>
        <v>0.07972486831474808</v>
      </c>
      <c r="H7" s="587">
        <f>$O$5*C7/1000</f>
        <v>559.7409820779947</v>
      </c>
      <c r="K7"/>
      <c r="M7" s="108"/>
      <c r="N7" s="108"/>
      <c r="O7" s="25"/>
      <c r="P7"/>
      <c r="Q7"/>
      <c r="R7"/>
      <c r="S7" s="642"/>
      <c r="T7" s="614"/>
      <c r="U7" s="614"/>
      <c r="V7" s="633"/>
      <c r="W7" s="26"/>
    </row>
    <row r="8" spans="2:23" ht="13.5" thickBot="1">
      <c r="B8" s="578" t="s">
        <v>261</v>
      </c>
      <c r="C8" s="579">
        <f>'Alt hrs and cf'!C6</f>
        <v>3729.6935374847126</v>
      </c>
      <c r="D8" s="580">
        <f>'Alt hrs and cf'!D6</f>
        <v>0.7657736643830362</v>
      </c>
      <c r="E8" s="581">
        <f>$O$4*D8/1000</f>
        <v>0.017851284328512757</v>
      </c>
      <c r="F8" s="582">
        <f>$O$4*C8/1000</f>
        <v>86.94451492987525</v>
      </c>
      <c r="G8" s="581">
        <f>$O$5*D8/1000</f>
        <v>0.09123551375718988</v>
      </c>
      <c r="H8" s="582">
        <f>$O$5*C8/1000</f>
        <v>444.36172445737446</v>
      </c>
      <c r="K8"/>
      <c r="L8" s="108" t="s">
        <v>63</v>
      </c>
      <c r="M8" s="26"/>
      <c r="N8" s="664" t="s">
        <v>64</v>
      </c>
      <c r="O8" s="665"/>
      <c r="P8"/>
      <c r="Q8"/>
      <c r="R8"/>
      <c r="S8" s="56" t="s">
        <v>84</v>
      </c>
      <c r="T8" s="57">
        <v>8</v>
      </c>
      <c r="U8" s="58">
        <v>0.22</v>
      </c>
      <c r="V8" s="59">
        <v>0.8</v>
      </c>
      <c r="W8" s="26"/>
    </row>
    <row r="9" spans="2:23" ht="13.5" thickBot="1">
      <c r="B9" s="578" t="s">
        <v>24</v>
      </c>
      <c r="C9" s="579">
        <f>'Alt hrs and cf'!C7</f>
        <v>4745.3302752293575</v>
      </c>
      <c r="D9" s="580">
        <f>'Alt hrs and cf'!D7</f>
        <v>0.7703958262197858</v>
      </c>
      <c r="E9" s="581">
        <f>$O$4*D9/1000</f>
        <v>0.017959033561736514</v>
      </c>
      <c r="F9" s="582">
        <f>$O$4*C9/1000</f>
        <v>110.62046648479064</v>
      </c>
      <c r="G9" s="581">
        <f>$O$5*D9/1000</f>
        <v>0.09178620559925588</v>
      </c>
      <c r="H9" s="582">
        <f>$O$5*C9/1000</f>
        <v>565.3663291710459</v>
      </c>
      <c r="K9"/>
      <c r="L9" s="38" t="s">
        <v>65</v>
      </c>
      <c r="M9" s="39" t="s">
        <v>66</v>
      </c>
      <c r="N9" s="40" t="s">
        <v>67</v>
      </c>
      <c r="O9" s="37" t="s">
        <v>68</v>
      </c>
      <c r="P9"/>
      <c r="Q9"/>
      <c r="R9"/>
      <c r="S9" s="64" t="s">
        <v>86</v>
      </c>
      <c r="T9" s="65">
        <v>26</v>
      </c>
      <c r="U9" s="66">
        <v>0.46</v>
      </c>
      <c r="V9" s="67">
        <v>0.87</v>
      </c>
      <c r="W9" s="26"/>
    </row>
    <row r="10" spans="2:23" ht="12.75">
      <c r="B10" s="578" t="s">
        <v>272</v>
      </c>
      <c r="C10" s="579">
        <f>'Alt hrs and cf'!C8</f>
        <v>3238.4869525296617</v>
      </c>
      <c r="D10" s="580">
        <f>'Alt hrs and cf'!D8</f>
        <v>0.6436897206395211</v>
      </c>
      <c r="E10" s="581">
        <f>$O$4*D10/1000</f>
        <v>0.015005332197908356</v>
      </c>
      <c r="F10" s="582">
        <f>$O$4*C10/1000</f>
        <v>75.49378370221537</v>
      </c>
      <c r="G10" s="581">
        <f>$O$5*D10/1000</f>
        <v>0.0766902351102448</v>
      </c>
      <c r="H10" s="582">
        <f>$O$5*C10/1000</f>
        <v>385.83857692213576</v>
      </c>
      <c r="K10"/>
      <c r="L10" s="41" t="s">
        <v>69</v>
      </c>
      <c r="M10" s="42" t="s">
        <v>70</v>
      </c>
      <c r="N10" s="43">
        <v>0.08</v>
      </c>
      <c r="O10" s="44">
        <v>0.92</v>
      </c>
      <c r="P10"/>
      <c r="Q10"/>
      <c r="R10"/>
      <c r="S10"/>
      <c r="T10"/>
      <c r="U10"/>
      <c r="V10"/>
      <c r="W10"/>
    </row>
    <row r="11" spans="11:23" ht="12.75">
      <c r="K11"/>
      <c r="L11" s="45" t="s">
        <v>71</v>
      </c>
      <c r="M11" s="46" t="s">
        <v>70</v>
      </c>
      <c r="N11" s="47">
        <v>0.15</v>
      </c>
      <c r="O11" s="48">
        <v>0.85</v>
      </c>
      <c r="P11"/>
      <c r="Q11"/>
      <c r="R11"/>
      <c r="S11"/>
      <c r="T11"/>
      <c r="U11"/>
      <c r="V11"/>
      <c r="W11"/>
    </row>
    <row r="12" spans="11:23" ht="13.5" thickBot="1">
      <c r="K12"/>
      <c r="L12" s="49" t="s">
        <v>72</v>
      </c>
      <c r="M12" s="50" t="s">
        <v>73</v>
      </c>
      <c r="N12" s="51">
        <v>0.1</v>
      </c>
      <c r="O12" s="52">
        <v>0.9</v>
      </c>
      <c r="P12"/>
      <c r="Q12"/>
      <c r="R12"/>
      <c r="S12" s="108" t="s">
        <v>76</v>
      </c>
      <c r="T12" s="108"/>
      <c r="U12" s="108"/>
      <c r="V12" s="108"/>
      <c r="W12" s="109"/>
    </row>
    <row r="13" spans="11:23" ht="12.75" customHeight="1" thickBot="1">
      <c r="K13"/>
      <c r="L13" s="26"/>
      <c r="M13" s="53" t="s">
        <v>74</v>
      </c>
      <c r="N13" s="54">
        <v>0.11</v>
      </c>
      <c r="O13" s="55">
        <v>0.89</v>
      </c>
      <c r="P13"/>
      <c r="Q13"/>
      <c r="R13"/>
      <c r="S13" s="641" t="s">
        <v>80</v>
      </c>
      <c r="T13" s="636" t="s">
        <v>81</v>
      </c>
      <c r="U13" s="636" t="s">
        <v>82</v>
      </c>
      <c r="V13" s="632" t="s">
        <v>83</v>
      </c>
      <c r="W13"/>
    </row>
    <row r="14" spans="11:23" ht="15.75" customHeight="1" thickBot="1">
      <c r="K14"/>
      <c r="L14"/>
      <c r="M14"/>
      <c r="N14"/>
      <c r="O14"/>
      <c r="P14"/>
      <c r="Q14"/>
      <c r="R14"/>
      <c r="S14" s="642"/>
      <c r="T14" s="614"/>
      <c r="U14" s="614"/>
      <c r="V14" s="633"/>
      <c r="W14"/>
    </row>
    <row r="15" spans="11:23" ht="12.75">
      <c r="K15"/>
      <c r="L15"/>
      <c r="M15"/>
      <c r="N15"/>
      <c r="O15"/>
      <c r="P15"/>
      <c r="Q15"/>
      <c r="R15"/>
      <c r="S15" s="60" t="s">
        <v>85</v>
      </c>
      <c r="T15" s="61">
        <f>V8</f>
        <v>0.8</v>
      </c>
      <c r="U15" s="62">
        <v>124.61070408464772</v>
      </c>
      <c r="V15" s="63">
        <f>U15*T15</f>
        <v>99.68856326771818</v>
      </c>
      <c r="W15"/>
    </row>
    <row r="16" spans="11:23" ht="15" customHeight="1" thickBot="1">
      <c r="K16"/>
      <c r="M16" s="108"/>
      <c r="N16" s="108"/>
      <c r="O16" s="25"/>
      <c r="P16" s="25"/>
      <c r="Q16"/>
      <c r="R16"/>
      <c r="S16" s="68" t="s">
        <v>87</v>
      </c>
      <c r="T16" s="69">
        <f>V9</f>
        <v>0.87</v>
      </c>
      <c r="U16" s="70">
        <v>122.86020865383296</v>
      </c>
      <c r="V16" s="71">
        <f>U16*T16</f>
        <v>106.88838152883467</v>
      </c>
      <c r="W16"/>
    </row>
    <row r="17" spans="11:23" ht="13.5" thickBot="1">
      <c r="K17"/>
      <c r="L17" s="108" t="s">
        <v>52</v>
      </c>
      <c r="M17" s="26"/>
      <c r="N17" s="26"/>
      <c r="O17" s="26"/>
      <c r="P17" s="26"/>
      <c r="Q17"/>
      <c r="R17"/>
      <c r="S17"/>
      <c r="T17"/>
      <c r="U17"/>
      <c r="V17"/>
      <c r="W17"/>
    </row>
    <row r="18" spans="11:23" ht="13.5" thickBot="1">
      <c r="K18"/>
      <c r="L18" s="27" t="s">
        <v>53</v>
      </c>
      <c r="M18" s="28" t="s">
        <v>54</v>
      </c>
      <c r="N18" s="28" t="s">
        <v>55</v>
      </c>
      <c r="O18" s="28" t="s">
        <v>56</v>
      </c>
      <c r="P18" s="29" t="s">
        <v>57</v>
      </c>
      <c r="Q18"/>
      <c r="R18"/>
      <c r="S18" t="s">
        <v>230</v>
      </c>
      <c r="T18"/>
      <c r="U18"/>
      <c r="V18"/>
      <c r="W18"/>
    </row>
    <row r="19" spans="11:23" ht="12.75">
      <c r="K19"/>
      <c r="L19" s="30" t="s">
        <v>51</v>
      </c>
      <c r="M19" s="31">
        <f>N33</f>
        <v>123</v>
      </c>
      <c r="N19" s="31" t="s">
        <v>58</v>
      </c>
      <c r="O19" s="31" t="s">
        <v>59</v>
      </c>
      <c r="P19" s="32">
        <v>123</v>
      </c>
      <c r="Q19"/>
      <c r="R19"/>
      <c r="S19" t="s">
        <v>231</v>
      </c>
      <c r="T19"/>
      <c r="U19"/>
      <c r="V19"/>
      <c r="W19"/>
    </row>
    <row r="20" spans="11:23" ht="12.75">
      <c r="K20"/>
      <c r="L20" s="33" t="s">
        <v>60</v>
      </c>
      <c r="M20" s="34">
        <f>N34</f>
        <v>207</v>
      </c>
      <c r="N20" s="171">
        <f>O13</f>
        <v>0.89</v>
      </c>
      <c r="O20" s="670" t="s">
        <v>61</v>
      </c>
      <c r="P20" s="672">
        <f>N20*M20+N21*M21</f>
        <v>226.02999999999997</v>
      </c>
      <c r="Q20"/>
      <c r="R20"/>
      <c r="S20" s="221" t="s">
        <v>232</v>
      </c>
      <c r="T20"/>
      <c r="U20"/>
      <c r="V20"/>
      <c r="W20"/>
    </row>
    <row r="21" spans="11:23" ht="13.5" thickBot="1">
      <c r="K21"/>
      <c r="L21" s="35" t="s">
        <v>62</v>
      </c>
      <c r="M21" s="36">
        <f>N35</f>
        <v>380</v>
      </c>
      <c r="N21" s="172">
        <f>N13</f>
        <v>0.11</v>
      </c>
      <c r="O21" s="671"/>
      <c r="P21" s="673"/>
      <c r="Q21"/>
      <c r="R21"/>
      <c r="S21" s="220"/>
      <c r="T21"/>
      <c r="U21"/>
      <c r="V21"/>
      <c r="W21"/>
    </row>
    <row r="22" spans="11:23" ht="12.75"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1:23" ht="12.75"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1:23" ht="13.5" thickBot="1"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1:23" ht="15.75">
      <c r="K25"/>
      <c r="L25"/>
      <c r="M25" s="154" t="s">
        <v>170</v>
      </c>
      <c r="N25" s="155"/>
      <c r="O25"/>
      <c r="P25"/>
      <c r="Q25"/>
      <c r="R25"/>
      <c r="S25"/>
      <c r="T25"/>
      <c r="U25"/>
      <c r="V25"/>
      <c r="W25"/>
    </row>
    <row r="26" spans="11:23" ht="12.75">
      <c r="K26"/>
      <c r="L26"/>
      <c r="M26" s="156" t="s">
        <v>53</v>
      </c>
      <c r="N26" s="157" t="s">
        <v>98</v>
      </c>
      <c r="O26"/>
      <c r="P26"/>
      <c r="Q26"/>
      <c r="R26"/>
      <c r="S26"/>
      <c r="T26"/>
      <c r="U26"/>
      <c r="V26"/>
      <c r="W26"/>
    </row>
    <row r="27" spans="11:16" ht="12.75">
      <c r="K27"/>
      <c r="L27"/>
      <c r="M27" s="158" t="s">
        <v>171</v>
      </c>
      <c r="N27" s="159">
        <v>42</v>
      </c>
      <c r="O27"/>
      <c r="P27"/>
    </row>
    <row r="28" spans="11:16" ht="12.75">
      <c r="K28"/>
      <c r="L28"/>
      <c r="M28" s="158" t="s">
        <v>172</v>
      </c>
      <c r="N28" s="159">
        <v>72</v>
      </c>
      <c r="O28"/>
      <c r="P28"/>
    </row>
    <row r="29" spans="13:14" ht="11.25" customHeight="1">
      <c r="M29" s="158" t="s">
        <v>173</v>
      </c>
      <c r="N29" s="159">
        <v>115</v>
      </c>
    </row>
    <row r="30" spans="13:14" ht="12" customHeight="1">
      <c r="M30" s="158" t="s">
        <v>174</v>
      </c>
      <c r="N30" s="159">
        <v>144</v>
      </c>
    </row>
    <row r="31" spans="13:14" ht="12.75">
      <c r="M31" s="160" t="s">
        <v>175</v>
      </c>
      <c r="N31" s="161">
        <v>122</v>
      </c>
    </row>
    <row r="32" spans="13:14" ht="12.75">
      <c r="M32" s="158" t="s">
        <v>176</v>
      </c>
      <c r="N32" s="159">
        <v>205</v>
      </c>
    </row>
    <row r="33" spans="13:14" ht="12.75">
      <c r="M33" s="158" t="s">
        <v>177</v>
      </c>
      <c r="N33" s="159">
        <v>123</v>
      </c>
    </row>
    <row r="34" spans="13:14" ht="12.75">
      <c r="M34" s="158" t="s">
        <v>178</v>
      </c>
      <c r="N34" s="159">
        <v>207</v>
      </c>
    </row>
    <row r="35" spans="13:14" ht="13.5" thickBot="1">
      <c r="M35" s="162" t="s">
        <v>179</v>
      </c>
      <c r="N35" s="163">
        <v>380</v>
      </c>
    </row>
    <row r="49" ht="11.25" customHeight="1"/>
    <row r="50" ht="12" customHeight="1"/>
  </sheetData>
  <mergeCells count="17">
    <mergeCell ref="N8:O8"/>
    <mergeCell ref="O20:O21"/>
    <mergeCell ref="P20:P21"/>
    <mergeCell ref="B4:B6"/>
    <mergeCell ref="C4:C6"/>
    <mergeCell ref="D4:D6"/>
    <mergeCell ref="E4:H4"/>
    <mergeCell ref="E5:F5"/>
    <mergeCell ref="G5:H5"/>
    <mergeCell ref="U13:U14"/>
    <mergeCell ref="V13:V14"/>
    <mergeCell ref="S6:S7"/>
    <mergeCell ref="T6:T7"/>
    <mergeCell ref="U6:U7"/>
    <mergeCell ref="V6:V7"/>
    <mergeCell ref="S13:S14"/>
    <mergeCell ref="T13:T14"/>
  </mergeCells>
  <conditionalFormatting sqref="C7:D10 S15:V16 L19:P21 L10:O12 S8:V9">
    <cfRule type="expression" priority="1" dxfId="0" stopIfTrue="1">
      <formula>MOD(ROW(),2)=1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S47"/>
  <sheetViews>
    <sheetView workbookViewId="0" topLeftCell="A1">
      <selection activeCell="N42" sqref="N42"/>
    </sheetView>
  </sheetViews>
  <sheetFormatPr defaultColWidth="9.140625" defaultRowHeight="12.75"/>
  <cols>
    <col min="1" max="1" width="9.140625" style="72" customWidth="1"/>
    <col min="2" max="2" width="12.140625" style="72" customWidth="1"/>
    <col min="3" max="3" width="5.7109375" style="72" bestFit="1" customWidth="1"/>
    <col min="4" max="4" width="4.140625" style="72" bestFit="1" customWidth="1"/>
    <col min="5" max="5" width="5.7109375" style="72" bestFit="1" customWidth="1"/>
    <col min="6" max="6" width="4.421875" style="72" bestFit="1" customWidth="1"/>
    <col min="7" max="7" width="5.7109375" style="72" bestFit="1" customWidth="1"/>
    <col min="8" max="8" width="4.8515625" style="72" bestFit="1" customWidth="1"/>
    <col min="9" max="9" width="5.7109375" style="72" bestFit="1" customWidth="1"/>
    <col min="10" max="10" width="4.421875" style="72" bestFit="1" customWidth="1"/>
    <col min="11" max="11" width="5.7109375" style="72" bestFit="1" customWidth="1"/>
    <col min="12" max="12" width="4.8515625" style="72" bestFit="1" customWidth="1"/>
    <col min="13" max="13" width="5.7109375" style="72" bestFit="1" customWidth="1"/>
    <col min="14" max="14" width="4.8515625" style="72" bestFit="1" customWidth="1"/>
    <col min="15" max="15" width="9.140625" style="72" customWidth="1"/>
    <col min="16" max="16" width="15.57421875" style="0" customWidth="1"/>
    <col min="17" max="17" width="11.421875" style="0" customWidth="1"/>
    <col min="18" max="18" width="13.140625" style="0" customWidth="1"/>
    <col min="19" max="19" width="12.28125" style="0" customWidth="1"/>
    <col min="20" max="20" width="10.8515625" style="0" customWidth="1"/>
    <col min="21" max="21" width="11.140625" style="0" customWidth="1"/>
    <col min="23" max="23" width="13.00390625" style="0" customWidth="1"/>
    <col min="24" max="24" width="5.7109375" style="0" bestFit="1" customWidth="1"/>
    <col min="25" max="25" width="4.140625" style="0" bestFit="1" customWidth="1"/>
    <col min="26" max="26" width="5.7109375" style="0" bestFit="1" customWidth="1"/>
    <col min="27" max="27" width="4.421875" style="0" bestFit="1" customWidth="1"/>
    <col min="28" max="28" width="6.57421875" style="0" customWidth="1"/>
    <col min="29" max="29" width="4.421875" style="0" bestFit="1" customWidth="1"/>
    <col min="30" max="30" width="6.57421875" style="0" customWidth="1"/>
    <col min="31" max="31" width="4.421875" style="72" bestFit="1" customWidth="1"/>
    <col min="32" max="32" width="6.57421875" style="72" customWidth="1"/>
    <col min="33" max="33" width="4.421875" style="72" bestFit="1" customWidth="1"/>
    <col min="34" max="34" width="6.57421875" style="72" customWidth="1"/>
    <col min="35" max="35" width="4.421875" style="72" bestFit="1" customWidth="1"/>
    <col min="36" max="37" width="9.140625" style="72" customWidth="1"/>
    <col min="38" max="38" width="15.00390625" style="72" customWidth="1"/>
    <col min="39" max="39" width="7.7109375" style="72" bestFit="1" customWidth="1"/>
    <col min="40" max="42" width="13.421875" style="72" bestFit="1" customWidth="1"/>
    <col min="43" max="44" width="12.00390625" style="72" bestFit="1" customWidth="1"/>
    <col min="45" max="16384" width="9.140625" style="72" customWidth="1"/>
  </cols>
  <sheetData>
    <row r="2" spans="1:7" ht="12.75">
      <c r="A2" s="544"/>
      <c r="B2" s="544"/>
      <c r="C2" s="544"/>
      <c r="D2" s="544"/>
      <c r="E2" s="544"/>
      <c r="F2" s="544"/>
      <c r="G2" s="544"/>
    </row>
    <row r="3" spans="2:17" ht="15.75">
      <c r="B3" s="116" t="s">
        <v>294</v>
      </c>
      <c r="P3" s="26"/>
      <c r="Q3" s="26"/>
    </row>
    <row r="4" spans="2:45" ht="12" customHeight="1" thickBot="1">
      <c r="B4" s="732" t="s">
        <v>257</v>
      </c>
      <c r="C4" s="732" t="s">
        <v>47</v>
      </c>
      <c r="D4" s="732" t="s">
        <v>48</v>
      </c>
      <c r="E4" s="737" t="s">
        <v>132</v>
      </c>
      <c r="F4" s="737"/>
      <c r="G4" s="737" t="s">
        <v>134</v>
      </c>
      <c r="H4" s="737"/>
      <c r="I4" s="737" t="s">
        <v>136</v>
      </c>
      <c r="J4" s="737"/>
      <c r="K4" s="737" t="s">
        <v>138</v>
      </c>
      <c r="L4" s="737"/>
      <c r="M4" s="737" t="s">
        <v>140</v>
      </c>
      <c r="N4" s="738"/>
      <c r="O4" s="299"/>
      <c r="R4" s="23"/>
      <c r="S4" s="23"/>
      <c r="T4" s="110"/>
      <c r="U4" s="110"/>
      <c r="V4" s="79"/>
      <c r="AS4" s="300"/>
    </row>
    <row r="5" spans="2:22" ht="12.75" customHeight="1" thickBot="1">
      <c r="B5" s="734"/>
      <c r="C5" s="734"/>
      <c r="D5" s="734"/>
      <c r="E5" s="588" t="s">
        <v>89</v>
      </c>
      <c r="F5" s="588" t="s">
        <v>90</v>
      </c>
      <c r="G5" s="588" t="s">
        <v>89</v>
      </c>
      <c r="H5" s="588" t="s">
        <v>90</v>
      </c>
      <c r="I5" s="588" t="s">
        <v>89</v>
      </c>
      <c r="J5" s="588" t="s">
        <v>90</v>
      </c>
      <c r="K5" s="588" t="s">
        <v>89</v>
      </c>
      <c r="L5" s="588" t="s">
        <v>90</v>
      </c>
      <c r="M5" s="588" t="s">
        <v>89</v>
      </c>
      <c r="N5" s="588" t="s">
        <v>90</v>
      </c>
      <c r="O5" s="674"/>
      <c r="P5" s="504" t="s">
        <v>94</v>
      </c>
      <c r="Q5" s="680" t="s">
        <v>95</v>
      </c>
      <c r="R5" s="681"/>
      <c r="S5" s="682"/>
      <c r="T5" s="507" t="s">
        <v>93</v>
      </c>
      <c r="U5" s="501" t="s">
        <v>131</v>
      </c>
      <c r="V5" s="675"/>
    </row>
    <row r="6" spans="2:22" ht="12.75" customHeight="1" thickTop="1">
      <c r="B6" s="591" t="s">
        <v>155</v>
      </c>
      <c r="C6" s="584">
        <f>'Alt T8 for T12'!C7</f>
        <v>4698.114640883978</v>
      </c>
      <c r="D6" s="585">
        <f>'Alt hrs and cf'!D5</f>
        <v>0.6691605279312461</v>
      </c>
      <c r="E6" s="586">
        <f>($U$6-$T$6)/1000*D6</f>
        <v>0.1010097816912216</v>
      </c>
      <c r="F6" s="592">
        <f>($U$6-$T$6)*C6/1000</f>
        <v>709.1804050414364</v>
      </c>
      <c r="G6" s="586">
        <f>($U$7-$T$7)/1000*$D6</f>
        <v>0.1648473614755985</v>
      </c>
      <c r="H6" s="592">
        <f>($U$7-$T$7)/1000*$C6</f>
        <v>1157.3781927244472</v>
      </c>
      <c r="I6" s="586">
        <f>($U$8-$T$8)/1000*$D6</f>
        <v>0.0692848810620012</v>
      </c>
      <c r="J6" s="592">
        <f>($U$8-$T$8)/1000*$C6</f>
        <v>486.4427899171269</v>
      </c>
      <c r="K6" s="586">
        <f>($U$9-$T$9)/1000*$D6</f>
        <v>0.47973791148710865</v>
      </c>
      <c r="L6" s="592">
        <f>($U$9-$T$9)/1000*$C6</f>
        <v>3368.1958389157458</v>
      </c>
      <c r="M6" s="586">
        <f>($U$10-$T$10)/1000*$D6</f>
        <v>0.36504714280233275</v>
      </c>
      <c r="N6" s="592">
        <f>($U$10-$T$10)/1000*$C6</f>
        <v>2562.9624800414367</v>
      </c>
      <c r="O6" s="674"/>
      <c r="P6" s="509" t="s">
        <v>132</v>
      </c>
      <c r="Q6" s="510" t="s">
        <v>133</v>
      </c>
      <c r="R6" s="511"/>
      <c r="S6" s="512"/>
      <c r="T6" s="513">
        <f>R46</f>
        <v>144</v>
      </c>
      <c r="U6" s="514">
        <f>R28</f>
        <v>294.95</v>
      </c>
      <c r="V6" s="675"/>
    </row>
    <row r="7" spans="2:22" ht="12.75" customHeight="1">
      <c r="B7" s="589" t="s">
        <v>261</v>
      </c>
      <c r="C7" s="579">
        <f>'Alt hrs and cf'!C6</f>
        <v>3729.6935374847126</v>
      </c>
      <c r="D7" s="580">
        <f>'Alt T8 for T12'!D8</f>
        <v>0.7657736643830362</v>
      </c>
      <c r="E7" s="581">
        <f>($U$6-$T$6)/1000*D7</f>
        <v>0.11559353463861931</v>
      </c>
      <c r="F7" s="590">
        <f>($U$6-$T$6)*C7/1000</f>
        <v>562.9972394833173</v>
      </c>
      <c r="G7" s="581">
        <f>($U$7-$T$7)/1000*D7</f>
        <v>0.18864795933392875</v>
      </c>
      <c r="H7" s="590">
        <f>($U$7-$T$7)/1000*C7</f>
        <v>918.8081381125901</v>
      </c>
      <c r="I7" s="581">
        <f>($U$8-$T$8)/1000*$D7</f>
        <v>0.07928820521021954</v>
      </c>
      <c r="J7" s="590">
        <f>($U$8-$T$8)/1000*$C7</f>
        <v>386.172468871167</v>
      </c>
      <c r="K7" s="581">
        <f>($U$9-$T$9)/1000*$D7</f>
        <v>0.5490022843378083</v>
      </c>
      <c r="L7" s="590">
        <f>($U$9-$T$9)/1000*$C7</f>
        <v>2673.9105393612276</v>
      </c>
      <c r="M7" s="581">
        <f>($U$10-$T$10)/1000*$D7</f>
        <v>0.4177525071308778</v>
      </c>
      <c r="N7" s="590">
        <f>($U$10-$T$10)/1000*$C7</f>
        <v>2034.6597155040356</v>
      </c>
      <c r="O7" s="674"/>
      <c r="P7" s="505" t="s">
        <v>134</v>
      </c>
      <c r="Q7" s="330" t="s">
        <v>135</v>
      </c>
      <c r="R7" s="331"/>
      <c r="S7" s="506"/>
      <c r="T7" s="508">
        <f>S46</f>
        <v>211.83050000000003</v>
      </c>
      <c r="U7" s="502">
        <f>S28</f>
        <v>458.18</v>
      </c>
      <c r="V7" s="675"/>
    </row>
    <row r="8" spans="2:22" ht="12.75" customHeight="1">
      <c r="B8" s="589" t="s">
        <v>24</v>
      </c>
      <c r="C8" s="579">
        <f>'Alt hrs and cf'!C7</f>
        <v>4745.3302752293575</v>
      </c>
      <c r="D8" s="580">
        <f>'Alt hrs and cf'!D7</f>
        <v>0.7703958262197858</v>
      </c>
      <c r="E8" s="581">
        <f>($U$6-$T$6)/1000*D8</f>
        <v>0.11629124996787665</v>
      </c>
      <c r="F8" s="590">
        <f>($U$6-$T$6)*C8/1000</f>
        <v>716.3076050458715</v>
      </c>
      <c r="G8" s="581">
        <f>($U$7-$T$7)/1000*D8</f>
        <v>0.18978662659133108</v>
      </c>
      <c r="H8" s="590">
        <f>($U$7-$T$7)/1000*C8</f>
        <v>1169.0097406376144</v>
      </c>
      <c r="I8" s="581">
        <f>($U$8-$T$8)/1000*$D8</f>
        <v>0.07976678384679659</v>
      </c>
      <c r="J8" s="590">
        <f>($U$8-$T$8)/1000*$C8</f>
        <v>491.33149669724753</v>
      </c>
      <c r="K8" s="581">
        <f>($U$9-$T$9)/1000*$D8</f>
        <v>0.5523160277126199</v>
      </c>
      <c r="L8" s="590">
        <f>($U$9-$T$9)/1000*$C8</f>
        <v>3402.0459075688073</v>
      </c>
      <c r="M8" s="581">
        <f>($U$10-$T$10)/1000*$D8</f>
        <v>0.4202740350776798</v>
      </c>
      <c r="N8" s="590">
        <f>($U$10-$T$10)/1000*$C8</f>
        <v>2588.720025045872</v>
      </c>
      <c r="O8" s="674"/>
      <c r="P8" s="515" t="s">
        <v>136</v>
      </c>
      <c r="Q8" s="516" t="s">
        <v>137</v>
      </c>
      <c r="R8" s="517"/>
      <c r="S8" s="518"/>
      <c r="T8" s="519">
        <f>T46</f>
        <v>358.56</v>
      </c>
      <c r="U8" s="520">
        <f>T28</f>
        <v>462.09999999999997</v>
      </c>
      <c r="V8" s="675"/>
    </row>
    <row r="9" spans="2:21" ht="12.75">
      <c r="B9" s="589" t="s">
        <v>272</v>
      </c>
      <c r="C9" s="579">
        <f>'Alt hrs and cf'!C8</f>
        <v>3238.4869525296617</v>
      </c>
      <c r="D9" s="580">
        <f>'Alt hrs and cf'!D8</f>
        <v>0.6436897206395211</v>
      </c>
      <c r="E9" s="581">
        <f>($U$6-$T$6)/1000*D9</f>
        <v>0.09716496333053572</v>
      </c>
      <c r="F9" s="590">
        <f>($U$6-$T$6)*C9/1000</f>
        <v>488.84960548435237</v>
      </c>
      <c r="G9" s="581">
        <f>($U$7-$T$7)/1000*D9</f>
        <v>0.1585726408346857</v>
      </c>
      <c r="H9" s="590">
        <f>($U$7-$T$7)/1000*C9</f>
        <v>797.7996415122058</v>
      </c>
      <c r="I9" s="581">
        <f>($U$8-$T$8)/1000*$D9</f>
        <v>0.066647633675016</v>
      </c>
      <c r="J9" s="590">
        <f>($U$8-$T$8)/1000*$C9</f>
        <v>335.31293906492107</v>
      </c>
      <c r="K9" s="581">
        <f>($U$9-$T$9)/1000*$D9</f>
        <v>0.4614772529694887</v>
      </c>
      <c r="L9" s="590">
        <f>($U$9-$T$9)/1000*$C9</f>
        <v>2321.7522584423277</v>
      </c>
      <c r="M9" s="581">
        <f>($U$10-$T$10)/1000*$D9</f>
        <v>0.351152053300478</v>
      </c>
      <c r="N9" s="590">
        <f>($U$10-$T$10)/1000*$C9</f>
        <v>1766.6917872135066</v>
      </c>
      <c r="P9" s="505" t="s">
        <v>138</v>
      </c>
      <c r="Q9" s="330" t="s">
        <v>139</v>
      </c>
      <c r="R9" s="331"/>
      <c r="S9" s="506"/>
      <c r="T9" s="508">
        <f>U46</f>
        <v>363.475</v>
      </c>
      <c r="U9" s="503">
        <f>U28</f>
        <v>1080.4</v>
      </c>
    </row>
    <row r="10" spans="16:21" ht="13.5" thickBot="1">
      <c r="P10" s="521" t="s">
        <v>140</v>
      </c>
      <c r="Q10" s="522" t="s">
        <v>141</v>
      </c>
      <c r="R10" s="523"/>
      <c r="S10" s="524"/>
      <c r="T10" s="525">
        <f>V46</f>
        <v>534.87</v>
      </c>
      <c r="U10" s="526">
        <f>V28</f>
        <v>1080.4</v>
      </c>
    </row>
    <row r="13" spans="16:22" ht="16.5" thickBot="1">
      <c r="P13" s="116" t="s">
        <v>273</v>
      </c>
      <c r="Q13" s="26"/>
      <c r="R13" s="26"/>
      <c r="S13" s="26"/>
      <c r="T13" s="26"/>
      <c r="U13" s="26"/>
      <c r="V13" s="26"/>
    </row>
    <row r="14" spans="16:22" ht="12.75" customHeight="1" thickBot="1">
      <c r="P14" s="332" t="s">
        <v>53</v>
      </c>
      <c r="Q14" s="320" t="s">
        <v>98</v>
      </c>
      <c r="R14" s="321" t="s">
        <v>99</v>
      </c>
      <c r="S14" s="321" t="s">
        <v>100</v>
      </c>
      <c r="T14" s="321" t="s">
        <v>101</v>
      </c>
      <c r="U14" s="321" t="s">
        <v>102</v>
      </c>
      <c r="V14" s="320" t="s">
        <v>103</v>
      </c>
    </row>
    <row r="15" spans="2:36" ht="12.75"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P15" s="335" t="s">
        <v>104</v>
      </c>
      <c r="Q15" s="336">
        <v>1100</v>
      </c>
      <c r="R15" s="337">
        <v>0</v>
      </c>
      <c r="S15" s="338">
        <v>0</v>
      </c>
      <c r="T15" s="338">
        <v>0</v>
      </c>
      <c r="U15" s="338">
        <v>0.02</v>
      </c>
      <c r="V15" s="339">
        <v>0.02</v>
      </c>
      <c r="AJ15" s="301"/>
    </row>
    <row r="16" spans="16:36" ht="12.75">
      <c r="P16" s="333" t="s">
        <v>105</v>
      </c>
      <c r="Q16" s="322">
        <v>465</v>
      </c>
      <c r="R16" s="323">
        <v>0</v>
      </c>
      <c r="S16" s="324">
        <v>0.03</v>
      </c>
      <c r="T16" s="324">
        <v>0.03</v>
      </c>
      <c r="U16" s="324">
        <v>0</v>
      </c>
      <c r="V16" s="325">
        <v>0</v>
      </c>
      <c r="AJ16" s="91"/>
    </row>
    <row r="17" spans="16:36" ht="12.75">
      <c r="P17" s="335" t="s">
        <v>106</v>
      </c>
      <c r="Q17" s="336">
        <v>295</v>
      </c>
      <c r="R17" s="340">
        <v>0.03</v>
      </c>
      <c r="S17" s="341">
        <v>0</v>
      </c>
      <c r="T17" s="341">
        <v>0</v>
      </c>
      <c r="U17" s="341">
        <v>0</v>
      </c>
      <c r="V17" s="342">
        <v>0</v>
      </c>
      <c r="AJ17" s="91"/>
    </row>
    <row r="18" spans="16:36" ht="12.75">
      <c r="P18" s="333" t="s">
        <v>107</v>
      </c>
      <c r="Q18" s="322">
        <v>455</v>
      </c>
      <c r="R18" s="323">
        <v>0</v>
      </c>
      <c r="S18" s="324">
        <v>0.01</v>
      </c>
      <c r="T18" s="324">
        <v>0.01</v>
      </c>
      <c r="U18" s="324">
        <v>0</v>
      </c>
      <c r="V18" s="325">
        <v>0</v>
      </c>
      <c r="AJ18" s="92"/>
    </row>
    <row r="19" spans="16:22" ht="12.75">
      <c r="P19" s="335" t="s">
        <v>108</v>
      </c>
      <c r="Q19" s="336">
        <v>290</v>
      </c>
      <c r="R19" s="340">
        <v>0.01</v>
      </c>
      <c r="S19" s="341">
        <v>0</v>
      </c>
      <c r="T19" s="341">
        <v>0</v>
      </c>
      <c r="U19" s="341">
        <v>0</v>
      </c>
      <c r="V19" s="342">
        <v>0</v>
      </c>
    </row>
    <row r="20" spans="16:22" ht="12.75">
      <c r="P20" s="333" t="s">
        <v>109</v>
      </c>
      <c r="Q20" s="322">
        <v>1080</v>
      </c>
      <c r="R20" s="323">
        <v>0</v>
      </c>
      <c r="S20" s="324">
        <v>0</v>
      </c>
      <c r="T20" s="324">
        <v>0</v>
      </c>
      <c r="U20" s="324">
        <v>0.98</v>
      </c>
      <c r="V20" s="325">
        <v>0.98</v>
      </c>
    </row>
    <row r="21" spans="16:22" ht="12.75">
      <c r="P21" s="335" t="s">
        <v>110</v>
      </c>
      <c r="Q21" s="336">
        <v>850</v>
      </c>
      <c r="R21" s="340">
        <v>0</v>
      </c>
      <c r="S21" s="341">
        <v>0</v>
      </c>
      <c r="T21" s="341">
        <v>0.01</v>
      </c>
      <c r="U21" s="341">
        <v>0</v>
      </c>
      <c r="V21" s="342">
        <v>0</v>
      </c>
    </row>
    <row r="22" spans="16:22" ht="12.75">
      <c r="P22" s="333" t="s">
        <v>111</v>
      </c>
      <c r="Q22" s="322">
        <v>458</v>
      </c>
      <c r="R22" s="323">
        <v>0</v>
      </c>
      <c r="S22" s="324">
        <v>0.96</v>
      </c>
      <c r="T22" s="324">
        <v>0.95</v>
      </c>
      <c r="U22" s="324">
        <v>0</v>
      </c>
      <c r="V22" s="325">
        <v>0</v>
      </c>
    </row>
    <row r="23" spans="16:30" ht="12.75">
      <c r="P23" s="335" t="s">
        <v>112</v>
      </c>
      <c r="Q23" s="336">
        <v>295</v>
      </c>
      <c r="R23" s="340">
        <v>0.96</v>
      </c>
      <c r="S23" s="341">
        <v>0</v>
      </c>
      <c r="T23" s="341">
        <v>0</v>
      </c>
      <c r="U23" s="341">
        <v>0</v>
      </c>
      <c r="V23" s="342">
        <v>0</v>
      </c>
      <c r="W23" s="77"/>
      <c r="X23" s="77"/>
      <c r="Y23" s="77"/>
      <c r="Z23" s="77"/>
      <c r="AA23" s="77"/>
      <c r="AB23" s="77"/>
      <c r="AC23" s="77"/>
      <c r="AD23" s="77"/>
    </row>
    <row r="24" spans="16:22" ht="12.75">
      <c r="P24" s="333" t="s">
        <v>113</v>
      </c>
      <c r="Q24" s="322">
        <v>818</v>
      </c>
      <c r="R24" s="323">
        <v>0</v>
      </c>
      <c r="S24" s="324">
        <v>0</v>
      </c>
      <c r="T24" s="324">
        <v>0</v>
      </c>
      <c r="U24" s="324">
        <v>0</v>
      </c>
      <c r="V24" s="325">
        <v>0</v>
      </c>
    </row>
    <row r="25" spans="2:30" s="300" customFormat="1" ht="12.75" customHeight="1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P25" s="335" t="s">
        <v>114</v>
      </c>
      <c r="Q25" s="336">
        <v>365</v>
      </c>
      <c r="R25" s="340">
        <v>0</v>
      </c>
      <c r="S25" s="341">
        <v>0</v>
      </c>
      <c r="T25" s="341">
        <v>0</v>
      </c>
      <c r="U25" s="341">
        <v>0</v>
      </c>
      <c r="V25" s="342">
        <v>0</v>
      </c>
      <c r="W25"/>
      <c r="X25"/>
      <c r="Y25"/>
      <c r="Z25"/>
      <c r="AA25"/>
      <c r="AB25"/>
      <c r="AC25"/>
      <c r="AD25"/>
    </row>
    <row r="26" spans="16:22" ht="13.5" thickBot="1">
      <c r="P26" s="333" t="s">
        <v>115</v>
      </c>
      <c r="Q26" s="322">
        <v>288</v>
      </c>
      <c r="R26" s="323">
        <v>0</v>
      </c>
      <c r="S26" s="324">
        <v>0</v>
      </c>
      <c r="T26" s="324">
        <v>0</v>
      </c>
      <c r="U26" s="324">
        <v>0</v>
      </c>
      <c r="V26" s="325">
        <v>0</v>
      </c>
    </row>
    <row r="27" spans="16:22" ht="13.5" thickBot="1">
      <c r="P27" s="248" t="s">
        <v>116</v>
      </c>
      <c r="Q27" s="343"/>
      <c r="R27" s="344">
        <v>1</v>
      </c>
      <c r="S27" s="345">
        <v>1</v>
      </c>
      <c r="T27" s="345">
        <v>1</v>
      </c>
      <c r="U27" s="345">
        <v>1</v>
      </c>
      <c r="V27" s="346">
        <v>1</v>
      </c>
    </row>
    <row r="28" spans="16:22" ht="13.5" thickBot="1">
      <c r="P28" s="334" t="s">
        <v>117</v>
      </c>
      <c r="Q28" s="326"/>
      <c r="R28" s="327">
        <f>SUMPRODUCT($Q15:$Q26,R15:R26)</f>
        <v>294.95</v>
      </c>
      <c r="S28" s="328">
        <f>SUMPRODUCT($Q15:$Q26,S15:S26)</f>
        <v>458.18</v>
      </c>
      <c r="T28" s="328">
        <f>SUMPRODUCT($Q15:$Q26,T15:T26)</f>
        <v>462.09999999999997</v>
      </c>
      <c r="U28" s="328">
        <f>SUMPRODUCT($Q15:$Q26,U15:U26)</f>
        <v>1080.4</v>
      </c>
      <c r="V28" s="329">
        <f>SUMPRODUCT($Q15:$Q26,V15:V26)</f>
        <v>1080.4</v>
      </c>
    </row>
    <row r="29" ht="12.75">
      <c r="P29" s="72" t="s">
        <v>274</v>
      </c>
    </row>
    <row r="32" spans="16:22" ht="16.5" thickBot="1">
      <c r="P32" s="116" t="s">
        <v>276</v>
      </c>
      <c r="Q32" s="116"/>
      <c r="R32" s="116"/>
      <c r="S32" s="116"/>
      <c r="T32" s="116"/>
      <c r="U32" s="116"/>
      <c r="V32" s="116"/>
    </row>
    <row r="33" spans="16:22" ht="23.25" thickBot="1">
      <c r="P33" s="332" t="s">
        <v>53</v>
      </c>
      <c r="Q33" s="320" t="s">
        <v>98</v>
      </c>
      <c r="R33" s="321" t="s">
        <v>99</v>
      </c>
      <c r="S33" s="321" t="s">
        <v>100</v>
      </c>
      <c r="T33" s="321" t="s">
        <v>101</v>
      </c>
      <c r="U33" s="321" t="s">
        <v>118</v>
      </c>
      <c r="V33" s="320" t="s">
        <v>119</v>
      </c>
    </row>
    <row r="34" spans="16:22" ht="12.75">
      <c r="P34" s="335" t="s">
        <v>120</v>
      </c>
      <c r="Q34" s="360">
        <v>144</v>
      </c>
      <c r="R34" s="361">
        <v>1</v>
      </c>
      <c r="S34" s="362">
        <v>0.019</v>
      </c>
      <c r="T34" s="362">
        <v>0</v>
      </c>
      <c r="U34" s="362">
        <v>0</v>
      </c>
      <c r="V34" s="363">
        <v>0</v>
      </c>
    </row>
    <row r="35" spans="16:22" ht="12.75">
      <c r="P35" s="333" t="s">
        <v>121</v>
      </c>
      <c r="Q35" s="347">
        <v>221.5</v>
      </c>
      <c r="R35" s="352">
        <v>0</v>
      </c>
      <c r="S35" s="351">
        <v>0.479</v>
      </c>
      <c r="T35" s="351">
        <v>0</v>
      </c>
      <c r="U35" s="351">
        <v>0.07</v>
      </c>
      <c r="V35" s="349">
        <v>0</v>
      </c>
    </row>
    <row r="36" spans="16:22" ht="12.75">
      <c r="P36" s="335" t="s">
        <v>122</v>
      </c>
      <c r="Q36" s="360">
        <v>288</v>
      </c>
      <c r="R36" s="364">
        <v>0</v>
      </c>
      <c r="S36" s="365">
        <v>0</v>
      </c>
      <c r="T36" s="365">
        <v>0.02</v>
      </c>
      <c r="U36" s="365">
        <v>0.13</v>
      </c>
      <c r="V36" s="366">
        <v>0</v>
      </c>
    </row>
    <row r="37" spans="16:22" ht="12.75">
      <c r="P37" s="333" t="s">
        <v>123</v>
      </c>
      <c r="Q37" s="347">
        <v>576</v>
      </c>
      <c r="R37" s="352">
        <v>0</v>
      </c>
      <c r="S37" s="351">
        <v>0</v>
      </c>
      <c r="T37" s="351">
        <v>0</v>
      </c>
      <c r="U37" s="351">
        <v>0</v>
      </c>
      <c r="V37" s="349">
        <v>0.28</v>
      </c>
    </row>
    <row r="38" spans="16:22" ht="12.75">
      <c r="P38" s="335" t="s">
        <v>124</v>
      </c>
      <c r="Q38" s="360">
        <v>119</v>
      </c>
      <c r="R38" s="364">
        <v>0</v>
      </c>
      <c r="S38" s="365">
        <v>0.132</v>
      </c>
      <c r="T38" s="365">
        <v>0</v>
      </c>
      <c r="U38" s="365">
        <v>0</v>
      </c>
      <c r="V38" s="366">
        <v>0</v>
      </c>
    </row>
    <row r="39" spans="16:22" ht="12.75">
      <c r="P39" s="333" t="s">
        <v>125</v>
      </c>
      <c r="Q39" s="347">
        <v>237</v>
      </c>
      <c r="R39" s="352">
        <v>0</v>
      </c>
      <c r="S39" s="351">
        <v>0.366</v>
      </c>
      <c r="T39" s="351">
        <v>0</v>
      </c>
      <c r="U39" s="351">
        <v>0.03</v>
      </c>
      <c r="V39" s="349">
        <v>0</v>
      </c>
    </row>
    <row r="40" spans="16:22" ht="12.75">
      <c r="P40" s="335" t="s">
        <v>126</v>
      </c>
      <c r="Q40" s="367">
        <v>360</v>
      </c>
      <c r="R40" s="364">
        <v>0</v>
      </c>
      <c r="S40" s="365">
        <v>0</v>
      </c>
      <c r="T40" s="365">
        <v>0.98</v>
      </c>
      <c r="U40" s="365">
        <v>0.54</v>
      </c>
      <c r="V40" s="366">
        <v>0</v>
      </c>
    </row>
    <row r="41" spans="16:22" ht="12.75">
      <c r="P41" s="333" t="s">
        <v>127</v>
      </c>
      <c r="Q41" s="348">
        <v>474</v>
      </c>
      <c r="R41" s="352">
        <v>0</v>
      </c>
      <c r="S41" s="351">
        <v>0</v>
      </c>
      <c r="T41" s="351">
        <v>0</v>
      </c>
      <c r="U41" s="351">
        <v>0.02</v>
      </c>
      <c r="V41" s="349">
        <v>0</v>
      </c>
    </row>
    <row r="42" spans="16:22" ht="12.75">
      <c r="P42" s="335" t="s">
        <v>128</v>
      </c>
      <c r="Q42" s="367">
        <v>474</v>
      </c>
      <c r="R42" s="364">
        <v>0</v>
      </c>
      <c r="S42" s="365">
        <v>0</v>
      </c>
      <c r="T42" s="365">
        <v>0</v>
      </c>
      <c r="U42" s="365">
        <v>0.21</v>
      </c>
      <c r="V42" s="366">
        <v>0</v>
      </c>
    </row>
    <row r="43" spans="16:22" ht="12.75">
      <c r="P43" s="333" t="s">
        <v>129</v>
      </c>
      <c r="Q43" s="348">
        <v>593</v>
      </c>
      <c r="R43" s="352">
        <v>0</v>
      </c>
      <c r="S43" s="351">
        <v>0</v>
      </c>
      <c r="T43" s="351">
        <v>0</v>
      </c>
      <c r="U43" s="351">
        <v>0</v>
      </c>
      <c r="V43" s="349">
        <v>0.63</v>
      </c>
    </row>
    <row r="44" spans="16:22" ht="13.5" thickBot="1">
      <c r="P44" s="335" t="s">
        <v>130</v>
      </c>
      <c r="Q44" s="367">
        <v>720</v>
      </c>
      <c r="R44" s="364">
        <v>0</v>
      </c>
      <c r="S44" s="365">
        <v>0</v>
      </c>
      <c r="T44" s="365">
        <v>0</v>
      </c>
      <c r="U44" s="365">
        <v>0</v>
      </c>
      <c r="V44" s="366">
        <v>0.09</v>
      </c>
    </row>
    <row r="45" spans="16:22" ht="13.5" thickBot="1">
      <c r="P45" s="353" t="s">
        <v>116</v>
      </c>
      <c r="Q45" s="354"/>
      <c r="R45" s="353">
        <v>1</v>
      </c>
      <c r="S45" s="355">
        <v>0.999</v>
      </c>
      <c r="T45" s="355">
        <v>1</v>
      </c>
      <c r="U45" s="355">
        <v>1</v>
      </c>
      <c r="V45" s="354">
        <v>1</v>
      </c>
    </row>
    <row r="46" spans="16:22" ht="13.5" thickBot="1">
      <c r="P46" s="350" t="s">
        <v>117</v>
      </c>
      <c r="Q46" s="356"/>
      <c r="R46" s="357">
        <v>144</v>
      </c>
      <c r="S46" s="358">
        <v>211.83050000000003</v>
      </c>
      <c r="T46" s="358">
        <v>358.56</v>
      </c>
      <c r="U46" s="358">
        <v>363.475</v>
      </c>
      <c r="V46" s="359">
        <v>534.87</v>
      </c>
    </row>
    <row r="47" spans="16:22" ht="12.75">
      <c r="P47" s="72" t="s">
        <v>275</v>
      </c>
      <c r="Q47" s="72"/>
      <c r="R47" s="72"/>
      <c r="S47" s="72"/>
      <c r="T47" s="72"/>
      <c r="U47" s="72"/>
      <c r="V47" s="72"/>
    </row>
  </sheetData>
  <mergeCells count="13">
    <mergeCell ref="B4:B5"/>
    <mergeCell ref="C4:C5"/>
    <mergeCell ref="D4:D5"/>
    <mergeCell ref="E4:F4"/>
    <mergeCell ref="G4:H4"/>
    <mergeCell ref="I4:J4"/>
    <mergeCell ref="K4:L4"/>
    <mergeCell ref="M4:N4"/>
    <mergeCell ref="O5:O6"/>
    <mergeCell ref="V5:V6"/>
    <mergeCell ref="O7:O8"/>
    <mergeCell ref="V7:V8"/>
    <mergeCell ref="Q5:S5"/>
  </mergeCells>
  <conditionalFormatting sqref="C6:D9">
    <cfRule type="expression" priority="1" dxfId="0" stopIfTrue="1">
      <formula>MOD(ROW(),2)=1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X32"/>
  <sheetViews>
    <sheetView workbookViewId="0" topLeftCell="A1">
      <selection activeCell="G18" sqref="G18"/>
    </sheetView>
  </sheetViews>
  <sheetFormatPr defaultColWidth="9.140625" defaultRowHeight="12.75"/>
  <cols>
    <col min="1" max="1" width="9.140625" style="100" customWidth="1"/>
    <col min="2" max="2" width="17.28125" style="100" customWidth="1"/>
    <col min="3" max="3" width="7.140625" style="100" customWidth="1"/>
    <col min="4" max="4" width="10.57421875" style="100" bestFit="1" customWidth="1"/>
    <col min="5" max="5" width="8.57421875" style="100" bestFit="1" customWidth="1"/>
    <col min="6" max="6" width="7.421875" style="100" customWidth="1"/>
    <col min="7" max="7" width="11.140625" style="100" customWidth="1"/>
    <col min="8" max="8" width="9.7109375" style="100" customWidth="1"/>
    <col min="9" max="9" width="8.00390625" style="100" customWidth="1"/>
    <col min="10" max="10" width="7.57421875" style="100" customWidth="1"/>
    <col min="11" max="11" width="8.7109375" style="100" bestFit="1" customWidth="1"/>
    <col min="12" max="12" width="11.28125" style="100" customWidth="1"/>
    <col min="13" max="13" width="43.28125" style="100" customWidth="1"/>
    <col min="14" max="14" width="9.421875" style="100" customWidth="1"/>
    <col min="15" max="15" width="10.140625" style="100" customWidth="1"/>
    <col min="16" max="16" width="9.140625" style="100" customWidth="1"/>
    <col min="17" max="17" width="10.140625" style="100" customWidth="1"/>
    <col min="18" max="18" width="9.140625" style="100" customWidth="1"/>
    <col min="19" max="19" width="10.140625" style="100" customWidth="1"/>
    <col min="20" max="20" width="9.140625" style="100" customWidth="1"/>
    <col min="21" max="21" width="10.140625" style="100" customWidth="1"/>
    <col min="22" max="22" width="9.140625" style="100" customWidth="1"/>
    <col min="23" max="23" width="10.140625" style="100" customWidth="1"/>
    <col min="24" max="16384" width="9.140625" style="100" customWidth="1"/>
  </cols>
  <sheetData>
    <row r="2" spans="2:13" ht="16.5" thickBot="1">
      <c r="B2" s="544"/>
      <c r="C2" s="544"/>
      <c r="D2" s="544"/>
      <c r="E2" s="544"/>
      <c r="F2" s="544"/>
      <c r="G2" s="544"/>
      <c r="H2" s="544"/>
      <c r="L2" s="116" t="s">
        <v>277</v>
      </c>
      <c r="M2" s="230"/>
    </row>
    <row r="3" spans="2:15" ht="24.75" thickBot="1">
      <c r="B3" s="116" t="s">
        <v>294</v>
      </c>
      <c r="L3" s="377" t="s">
        <v>94</v>
      </c>
      <c r="M3" s="385" t="s">
        <v>95</v>
      </c>
      <c r="N3" s="390" t="s">
        <v>93</v>
      </c>
      <c r="O3" s="376" t="s">
        <v>131</v>
      </c>
    </row>
    <row r="4" spans="2:15" ht="12">
      <c r="B4" s="739" t="s">
        <v>257</v>
      </c>
      <c r="C4" s="741" t="s">
        <v>47</v>
      </c>
      <c r="D4" s="739" t="s">
        <v>196</v>
      </c>
      <c r="E4" s="739"/>
      <c r="F4" s="739"/>
      <c r="G4" s="739"/>
      <c r="H4" s="739"/>
      <c r="I4" s="739"/>
      <c r="L4" s="380" t="s">
        <v>132</v>
      </c>
      <c r="M4" s="386" t="s">
        <v>133</v>
      </c>
      <c r="N4" s="391">
        <f>'High Bay Flur for HID'!T6</f>
        <v>144</v>
      </c>
      <c r="O4" s="381">
        <f>'High Bay Flur for HID'!U6</f>
        <v>294.95</v>
      </c>
    </row>
    <row r="5" spans="2:15" ht="12">
      <c r="B5" s="739"/>
      <c r="C5" s="741"/>
      <c r="D5" s="739" t="s">
        <v>153</v>
      </c>
      <c r="E5" s="739"/>
      <c r="F5" s="739"/>
      <c r="G5" s="739"/>
      <c r="H5" s="739"/>
      <c r="I5" s="739"/>
      <c r="L5" s="378" t="s">
        <v>134</v>
      </c>
      <c r="M5" s="387" t="s">
        <v>135</v>
      </c>
      <c r="N5" s="392">
        <f>'High Bay Flur for HID'!T7</f>
        <v>211.83050000000003</v>
      </c>
      <c r="O5" s="379">
        <f>'High Bay Flur for HID'!U7</f>
        <v>458.18</v>
      </c>
    </row>
    <row r="6" spans="2:15" ht="24.75" thickBot="1">
      <c r="B6" s="740"/>
      <c r="C6" s="742"/>
      <c r="D6" s="599" t="s">
        <v>154</v>
      </c>
      <c r="E6" s="599" t="s">
        <v>24</v>
      </c>
      <c r="F6" s="599" t="s">
        <v>20</v>
      </c>
      <c r="G6" s="599" t="s">
        <v>21</v>
      </c>
      <c r="H6" s="599" t="s">
        <v>18</v>
      </c>
      <c r="I6" s="599" t="s">
        <v>25</v>
      </c>
      <c r="L6" s="380" t="s">
        <v>136</v>
      </c>
      <c r="M6" s="388" t="s">
        <v>137</v>
      </c>
      <c r="N6" s="393">
        <f>'High Bay Flur for HID'!T8</f>
        <v>358.56</v>
      </c>
      <c r="O6" s="382">
        <f>'High Bay Flur for HID'!U8</f>
        <v>462.09999999999997</v>
      </c>
    </row>
    <row r="7" spans="2:15" ht="12.75" thickTop="1">
      <c r="B7" s="583" t="s">
        <v>155</v>
      </c>
      <c r="C7" s="596">
        <v>4698</v>
      </c>
      <c r="D7" s="597">
        <f aca="true" t="shared" si="0" ref="D7:I10">$X$22/1000*$C7*D$11</f>
        <v>438.0259796418766</v>
      </c>
      <c r="E7" s="597">
        <f t="shared" si="0"/>
        <v>501.13141738689274</v>
      </c>
      <c r="F7" s="597">
        <f t="shared" si="0"/>
        <v>167.0438057956309</v>
      </c>
      <c r="G7" s="597">
        <f t="shared" si="0"/>
        <v>593.9335317177988</v>
      </c>
      <c r="H7" s="597">
        <f t="shared" si="0"/>
        <v>523.4039248263101</v>
      </c>
      <c r="I7" s="597">
        <f t="shared" si="0"/>
        <v>444.70773187370185</v>
      </c>
      <c r="L7" s="378" t="s">
        <v>138</v>
      </c>
      <c r="M7" s="387" t="s">
        <v>139</v>
      </c>
      <c r="N7" s="392">
        <f>'High Bay Flur for HID'!T9</f>
        <v>363.475</v>
      </c>
      <c r="O7" s="379">
        <f>'High Bay Flur for HID'!U9</f>
        <v>1080.4</v>
      </c>
    </row>
    <row r="8" spans="2:15" ht="12.75" thickBot="1">
      <c r="B8" s="578" t="s">
        <v>261</v>
      </c>
      <c r="C8" s="594">
        <f>'Alt hrs and cf'!C6</f>
        <v>3729.6935374847126</v>
      </c>
      <c r="D8" s="595">
        <f t="shared" si="0"/>
        <v>347.74428810572954</v>
      </c>
      <c r="E8" s="595">
        <f t="shared" si="0"/>
        <v>397.843041476894</v>
      </c>
      <c r="F8" s="595">
        <f t="shared" si="0"/>
        <v>132.61434715896465</v>
      </c>
      <c r="G8" s="595">
        <f t="shared" si="0"/>
        <v>471.5176787874299</v>
      </c>
      <c r="H8" s="595">
        <f t="shared" si="0"/>
        <v>415.52495443142254</v>
      </c>
      <c r="I8" s="595">
        <f t="shared" si="0"/>
        <v>353.0488619920881</v>
      </c>
      <c r="L8" s="383" t="s">
        <v>140</v>
      </c>
      <c r="M8" s="389" t="s">
        <v>141</v>
      </c>
      <c r="N8" s="394">
        <f>'High Bay Flur for HID'!T10</f>
        <v>534.87</v>
      </c>
      <c r="O8" s="384">
        <f>'High Bay Flur for HID'!U10</f>
        <v>1080.4</v>
      </c>
    </row>
    <row r="9" spans="2:9" ht="12">
      <c r="B9" s="578" t="s">
        <v>24</v>
      </c>
      <c r="C9" s="594">
        <v>4725</v>
      </c>
      <c r="D9" s="595">
        <f t="shared" si="0"/>
        <v>440.5433703294735</v>
      </c>
      <c r="E9" s="595">
        <f t="shared" si="0"/>
        <v>504.0114830040587</v>
      </c>
      <c r="F9" s="595">
        <f t="shared" si="0"/>
        <v>168.00382766801957</v>
      </c>
      <c r="G9" s="595">
        <f t="shared" si="0"/>
        <v>597.3469428196252</v>
      </c>
      <c r="H9" s="595">
        <f t="shared" si="0"/>
        <v>526.4119933597946</v>
      </c>
      <c r="I9" s="595">
        <f t="shared" si="0"/>
        <v>447.2635234361943</v>
      </c>
    </row>
    <row r="10" spans="2:9" ht="12.75" thickBot="1">
      <c r="B10" s="601" t="s">
        <v>272</v>
      </c>
      <c r="C10" s="602">
        <v>3239</v>
      </c>
      <c r="D10" s="603">
        <f t="shared" si="0"/>
        <v>301.99364581950573</v>
      </c>
      <c r="E10" s="603">
        <f t="shared" si="0"/>
        <v>345.5012049629939</v>
      </c>
      <c r="F10" s="603">
        <f t="shared" si="0"/>
        <v>115.16706832099796</v>
      </c>
      <c r="G10" s="603">
        <f t="shared" si="0"/>
        <v>409.4829095857705</v>
      </c>
      <c r="H10" s="603">
        <f t="shared" si="0"/>
        <v>360.8568140724603</v>
      </c>
      <c r="I10" s="603">
        <f t="shared" si="0"/>
        <v>306.6003285523457</v>
      </c>
    </row>
    <row r="11" spans="2:11" ht="12.75" thickTop="1">
      <c r="B11" s="743" t="s">
        <v>156</v>
      </c>
      <c r="C11" s="744"/>
      <c r="D11" s="600">
        <v>0.3933333333333333</v>
      </c>
      <c r="E11" s="600">
        <v>0.45</v>
      </c>
      <c r="F11" s="600">
        <v>0.15</v>
      </c>
      <c r="G11" s="600">
        <v>0.5333333333333333</v>
      </c>
      <c r="H11" s="600">
        <v>0.47</v>
      </c>
      <c r="I11" s="600">
        <v>0.3993333333333333</v>
      </c>
      <c r="K11" s="230"/>
    </row>
    <row r="12" spans="2:9" ht="12">
      <c r="B12" s="745" t="s">
        <v>157</v>
      </c>
      <c r="C12" s="746"/>
      <c r="D12" s="593">
        <v>0.145</v>
      </c>
      <c r="E12" s="593">
        <v>0.18</v>
      </c>
      <c r="F12" s="593">
        <v>0.06</v>
      </c>
      <c r="G12" s="593">
        <v>0.18</v>
      </c>
      <c r="H12" s="593">
        <v>0.12</v>
      </c>
      <c r="I12" s="593">
        <v>0.137</v>
      </c>
    </row>
    <row r="13" spans="2:9" ht="12">
      <c r="B13" s="745" t="s">
        <v>158</v>
      </c>
      <c r="C13" s="746"/>
      <c r="D13" s="615">
        <f aca="true" t="shared" si="1" ref="D13:I13">$X$22/1000*D12</f>
        <v>0.034371153455891125</v>
      </c>
      <c r="E13" s="615">
        <f t="shared" si="1"/>
        <v>0.04266763877283037</v>
      </c>
      <c r="F13" s="615">
        <f t="shared" si="1"/>
        <v>0.014222546257610123</v>
      </c>
      <c r="G13" s="615">
        <f t="shared" si="1"/>
        <v>0.04266763877283037</v>
      </c>
      <c r="H13" s="615">
        <f t="shared" si="1"/>
        <v>0.028445092515220247</v>
      </c>
      <c r="I13" s="615">
        <f t="shared" si="1"/>
        <v>0.03247481395487645</v>
      </c>
    </row>
    <row r="14" ht="12.75" thickBot="1"/>
    <row r="15" spans="12:24" ht="16.5" thickBot="1">
      <c r="L15" s="545" t="s">
        <v>279</v>
      </c>
      <c r="M15" s="230"/>
      <c r="O15" s="700" t="s">
        <v>233</v>
      </c>
      <c r="P15" s="698"/>
      <c r="Q15" s="700" t="s">
        <v>234</v>
      </c>
      <c r="R15" s="699"/>
      <c r="S15" s="698" t="s">
        <v>235</v>
      </c>
      <c r="T15" s="698"/>
      <c r="U15" s="700" t="s">
        <v>236</v>
      </c>
      <c r="V15" s="699"/>
      <c r="W15" s="698" t="s">
        <v>237</v>
      </c>
      <c r="X15" s="699"/>
    </row>
    <row r="16" spans="3:24" ht="24.75" thickBot="1">
      <c r="C16" s="695"/>
      <c r="D16" s="695"/>
      <c r="E16" s="695"/>
      <c r="L16" s="552" t="s">
        <v>94</v>
      </c>
      <c r="M16" s="396" t="s">
        <v>95</v>
      </c>
      <c r="N16" s="397" t="s">
        <v>98</v>
      </c>
      <c r="O16" s="405" t="s">
        <v>281</v>
      </c>
      <c r="P16" s="400" t="s">
        <v>259</v>
      </c>
      <c r="Q16" s="405" t="s">
        <v>281</v>
      </c>
      <c r="R16" s="401" t="s">
        <v>259</v>
      </c>
      <c r="S16" s="402" t="s">
        <v>281</v>
      </c>
      <c r="T16" s="400" t="s">
        <v>259</v>
      </c>
      <c r="U16" s="405" t="s">
        <v>281</v>
      </c>
      <c r="V16" s="401" t="s">
        <v>259</v>
      </c>
      <c r="W16" s="402" t="s">
        <v>281</v>
      </c>
      <c r="X16" s="401" t="s">
        <v>259</v>
      </c>
    </row>
    <row r="17" spans="3:24" ht="12">
      <c r="C17" s="695"/>
      <c r="D17" s="695"/>
      <c r="E17" s="695"/>
      <c r="L17" s="553">
        <v>2.517</v>
      </c>
      <c r="M17" s="546" t="s">
        <v>133</v>
      </c>
      <c r="N17" s="547">
        <v>144</v>
      </c>
      <c r="O17" s="548">
        <v>196</v>
      </c>
      <c r="P17" s="549">
        <f>O17/O$22</f>
        <v>0.1391057487579844</v>
      </c>
      <c r="Q17" s="548">
        <v>1230</v>
      </c>
      <c r="R17" s="550">
        <f>Q17/Q$22</f>
        <v>0.051228654727197</v>
      </c>
      <c r="S17" s="551">
        <v>5080</v>
      </c>
      <c r="T17" s="549">
        <f>S17/S$22</f>
        <v>0.0965614248512612</v>
      </c>
      <c r="U17" s="548">
        <v>1062</v>
      </c>
      <c r="V17" s="550">
        <f>U17/U$22</f>
        <v>0.18495297805642633</v>
      </c>
      <c r="W17" s="551">
        <f>O17+Q17+S17+U17</f>
        <v>7568</v>
      </c>
      <c r="X17" s="550">
        <f>W17/W$22</f>
        <v>0.09034260475110421</v>
      </c>
    </row>
    <row r="18" spans="3:24" ht="12">
      <c r="C18" s="294"/>
      <c r="D18" s="295"/>
      <c r="E18" s="296"/>
      <c r="L18" s="554">
        <v>2.518</v>
      </c>
      <c r="M18" s="395" t="s">
        <v>135</v>
      </c>
      <c r="N18" s="398">
        <v>212</v>
      </c>
      <c r="O18" s="404">
        <v>1036</v>
      </c>
      <c r="P18" s="278">
        <f>O18/O$22</f>
        <v>0.7352732434350603</v>
      </c>
      <c r="Q18" s="404">
        <v>14739</v>
      </c>
      <c r="R18" s="399">
        <f>Q18/Q$22</f>
        <v>0.6138692211578509</v>
      </c>
      <c r="S18" s="403">
        <v>39381</v>
      </c>
      <c r="T18" s="278">
        <f>S18/S$22</f>
        <v>0.7485601322967553</v>
      </c>
      <c r="U18" s="404">
        <v>4043</v>
      </c>
      <c r="V18" s="399">
        <f>U18/U$22</f>
        <v>0.7041100661790317</v>
      </c>
      <c r="W18" s="403">
        <f>O18+Q18+S18+U18</f>
        <v>59199</v>
      </c>
      <c r="X18" s="399">
        <f>W18/W$22</f>
        <v>0.706684970753253</v>
      </c>
    </row>
    <row r="19" spans="3:24" ht="12">
      <c r="C19" s="294"/>
      <c r="D19" s="295"/>
      <c r="E19" s="296"/>
      <c r="L19" s="553">
        <v>2.5182</v>
      </c>
      <c r="M19" s="546" t="s">
        <v>137</v>
      </c>
      <c r="N19" s="547">
        <v>359</v>
      </c>
      <c r="O19" s="548">
        <v>177</v>
      </c>
      <c r="P19" s="549">
        <f>O19/O$22</f>
        <v>0.1256210078069553</v>
      </c>
      <c r="Q19" s="548">
        <v>7290</v>
      </c>
      <c r="R19" s="550">
        <f>Q19/Q$22</f>
        <v>0.3036234902124115</v>
      </c>
      <c r="S19" s="551">
        <v>5440</v>
      </c>
      <c r="T19" s="549">
        <f>S19/S$22</f>
        <v>0.1034043604706419</v>
      </c>
      <c r="U19" s="548">
        <v>531</v>
      </c>
      <c r="V19" s="550">
        <f>U19/U$22</f>
        <v>0.09247648902821316</v>
      </c>
      <c r="W19" s="551">
        <f>O19+Q19+S19+U19</f>
        <v>13438</v>
      </c>
      <c r="X19" s="550">
        <f>W19/W$22</f>
        <v>0.16041542318252358</v>
      </c>
    </row>
    <row r="20" spans="3:24" ht="12">
      <c r="C20" s="294"/>
      <c r="D20" s="295"/>
      <c r="E20" s="296"/>
      <c r="L20" s="554">
        <v>2.5185</v>
      </c>
      <c r="M20" s="395" t="s">
        <v>238</v>
      </c>
      <c r="N20" s="398">
        <v>363</v>
      </c>
      <c r="O20" s="404">
        <v>0</v>
      </c>
      <c r="P20" s="278">
        <f>O20/O$22</f>
        <v>0</v>
      </c>
      <c r="Q20" s="404">
        <v>601</v>
      </c>
      <c r="R20" s="399">
        <f>Q20/Q$22</f>
        <v>0.025031236984589755</v>
      </c>
      <c r="S20" s="403">
        <v>2327</v>
      </c>
      <c r="T20" s="278">
        <f>S20/S$22</f>
        <v>0.044231975517497</v>
      </c>
      <c r="U20" s="404">
        <v>63</v>
      </c>
      <c r="V20" s="399">
        <f>U20/U$22</f>
        <v>0.0109717868338558</v>
      </c>
      <c r="W20" s="403">
        <f>O20+Q20+S20+U20</f>
        <v>2991</v>
      </c>
      <c r="X20" s="399">
        <f>W20/W$22</f>
        <v>0.035704906291034975</v>
      </c>
    </row>
    <row r="21" spans="3:24" ht="12.75" thickBot="1">
      <c r="C21" s="294"/>
      <c r="D21" s="295"/>
      <c r="E21" s="296"/>
      <c r="L21" s="555">
        <v>2.5186</v>
      </c>
      <c r="M21" s="546" t="s">
        <v>141</v>
      </c>
      <c r="N21" s="547">
        <v>535</v>
      </c>
      <c r="O21" s="548">
        <v>0</v>
      </c>
      <c r="P21" s="549">
        <f>O21/O$22</f>
        <v>0</v>
      </c>
      <c r="Q21" s="548">
        <v>150</v>
      </c>
      <c r="R21" s="550">
        <f>Q21/Q$22</f>
        <v>0.006247396917950854</v>
      </c>
      <c r="S21" s="551">
        <v>381</v>
      </c>
      <c r="T21" s="549">
        <f>S21/S$22</f>
        <v>0.0072421068638445895</v>
      </c>
      <c r="U21" s="548">
        <v>43</v>
      </c>
      <c r="V21" s="550">
        <f>U21/U$22</f>
        <v>0.007488679902473006</v>
      </c>
      <c r="W21" s="551">
        <f>O21+Q21+S21+U21</f>
        <v>574</v>
      </c>
      <c r="X21" s="550">
        <f>W21/W$22</f>
        <v>0.006852095022084279</v>
      </c>
    </row>
    <row r="22" spans="3:24" ht="12.75" thickBot="1">
      <c r="C22" s="294"/>
      <c r="D22" s="295"/>
      <c r="E22" s="296"/>
      <c r="L22" s="406"/>
      <c r="M22" s="407" t="s">
        <v>282</v>
      </c>
      <c r="N22" s="408"/>
      <c r="O22" s="409">
        <f>SUM(O17:O21)</f>
        <v>1409</v>
      </c>
      <c r="P22" s="410">
        <f>SUMPRODUCT($N$17:$N$21,P17:P21)</f>
        <v>221.00709723207945</v>
      </c>
      <c r="Q22" s="409">
        <f>SUM(Q17:Q21)</f>
        <v>24010</v>
      </c>
      <c r="R22" s="411">
        <f>SUMPRODUCT($N$17:$N$21,R17:R21)</f>
        <v>258.94673052894626</v>
      </c>
      <c r="S22" s="412">
        <f>SUM(S17:S21)</f>
        <v>52609</v>
      </c>
      <c r="T22" s="410">
        <f>SUMPRODUCT($N$17:$N$21,T17:T21)</f>
        <v>229.65249291946247</v>
      </c>
      <c r="U22" s="409">
        <f>SUM(U17:U21)</f>
        <v>5742</v>
      </c>
      <c r="V22" s="411">
        <f>SUMPRODUCT($N$17:$N$21,V17:V21)</f>
        <v>217.09282479972134</v>
      </c>
      <c r="W22" s="412">
        <f>SUM(W17:W21)</f>
        <v>83770</v>
      </c>
      <c r="X22" s="411">
        <f>SUMPRODUCT($N$17:$N$21,X17:X21)</f>
        <v>237.04243762683538</v>
      </c>
    </row>
    <row r="23" spans="3:12" ht="12">
      <c r="C23" s="294"/>
      <c r="D23" s="295"/>
      <c r="E23" s="296"/>
      <c r="L23" s="100" t="s">
        <v>280</v>
      </c>
    </row>
    <row r="24" spans="3:5" ht="12">
      <c r="C24" s="294"/>
      <c r="D24" s="295"/>
      <c r="E24" s="296"/>
    </row>
    <row r="25" spans="3:5" ht="12">
      <c r="C25" s="294"/>
      <c r="D25" s="295"/>
      <c r="E25" s="296"/>
    </row>
    <row r="26" spans="3:5" ht="12">
      <c r="C26" s="294"/>
      <c r="D26" s="295"/>
      <c r="E26" s="296"/>
    </row>
    <row r="27" spans="3:5" ht="12">
      <c r="C27" s="294"/>
      <c r="D27" s="295"/>
      <c r="E27" s="296"/>
    </row>
    <row r="28" spans="3:5" ht="12">
      <c r="C28" s="294"/>
      <c r="D28" s="295"/>
      <c r="E28" s="296"/>
    </row>
    <row r="29" spans="3:5" ht="12">
      <c r="C29" s="294"/>
      <c r="D29" s="295"/>
      <c r="E29" s="296"/>
    </row>
    <row r="30" spans="3:5" ht="12">
      <c r="C30" s="294"/>
      <c r="D30" s="295"/>
      <c r="E30" s="296"/>
    </row>
    <row r="31" spans="3:5" ht="12">
      <c r="C31" s="294"/>
      <c r="D31" s="297"/>
      <c r="E31" s="296"/>
    </row>
    <row r="32" spans="3:5" ht="12">
      <c r="C32" s="294"/>
      <c r="D32" s="295"/>
      <c r="E32" s="296"/>
    </row>
    <row r="34" ht="12.75" customHeight="1"/>
  </sheetData>
  <mergeCells count="15">
    <mergeCell ref="W15:X15"/>
    <mergeCell ref="O15:P15"/>
    <mergeCell ref="Q15:R15"/>
    <mergeCell ref="S15:T15"/>
    <mergeCell ref="U15:V15"/>
    <mergeCell ref="C16:C17"/>
    <mergeCell ref="D16:D17"/>
    <mergeCell ref="E16:E17"/>
    <mergeCell ref="B4:B6"/>
    <mergeCell ref="C4:C6"/>
    <mergeCell ref="D4:I4"/>
    <mergeCell ref="D5:I5"/>
    <mergeCell ref="B11:C11"/>
    <mergeCell ref="B12:C12"/>
    <mergeCell ref="B13:C1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dendy</dc:creator>
  <cp:keywords/>
  <dc:description/>
  <cp:lastModifiedBy>Tamara Kuiken</cp:lastModifiedBy>
  <cp:lastPrinted>2009-11-03T21:24:38Z</cp:lastPrinted>
  <dcterms:created xsi:type="dcterms:W3CDTF">2009-10-04T15:15:00Z</dcterms:created>
  <dcterms:modified xsi:type="dcterms:W3CDTF">2009-11-16T14:18:38Z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